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essneba\Desktop\"/>
    </mc:Choice>
  </mc:AlternateContent>
  <workbookProtection workbookAlgorithmName="SHA-512" workbookHashValue="2irZd9m7/4MaHVNxFr5t/PAhOMZUMbt4USX9MxdU+nY+Wio1ClewQorEJYOxab855+E1+UOmJQJsXqTx3jo61w==" workbookSaltValue="SIlA1oKqBcfTSv/F5YKv+Q==" workbookSpinCount="100000" lockStructure="1"/>
  <bookViews>
    <workbookView xWindow="0" yWindow="0" windowWidth="21600" windowHeight="9750"/>
  </bookViews>
  <sheets>
    <sheet name="Plan Comparison Calculator" sheetId="1" r:id="rId1"/>
    <sheet name="OOP Calc" sheetId="2" state="hidden" r:id="rId2"/>
    <sheet name="Plan Defn" sheetId="3" state="hidden" r:id="rId3"/>
    <sheet name="Base Costs" sheetId="4" state="hidden" r:id="rId4"/>
    <sheet name="Drop Down Parameters" sheetId="5" state="hidden" r:id="rId5"/>
  </sheets>
  <definedNames>
    <definedName name="Baby_Facility">'Base Costs'!$E$8</definedName>
    <definedName name="Baby_Physician">'Base Costs'!$F$8</definedName>
    <definedName name="CatScan">'Base Costs'!$D$24</definedName>
    <definedName name="Coverage">'Plan Defn'!$A$35:$A$40</definedName>
    <definedName name="EE_Phys">'Drop Down Parameters'!$C$8:$C$9</definedName>
    <definedName name="EEPhys">'Drop Down Parameters'!$C$8</definedName>
    <definedName name="Employee_CostShare">'Plan Defn'!$A$35:$E$40</definedName>
    <definedName name="ER">'Base Costs'!$E$18</definedName>
    <definedName name="ER_IP">'Base Costs'!$E$18</definedName>
    <definedName name="Error">'Plan Comparison Calculator'!$R$13</definedName>
    <definedName name="Formulary">'Drop Down Parameters'!$A$21:$A$30</definedName>
    <definedName name="FSA_Contribution">'Plan Defn'!$E$44:$E$49</definedName>
    <definedName name="Generic">'Drop Down Parameters'!$A$8:$A$17</definedName>
    <definedName name="HSA_Contribution">'Plan Defn'!$A$44:$B$49</definedName>
    <definedName name="IP_Facility">'Base Costs'!$E$28</definedName>
    <definedName name="IP_Hosp">'Base Costs'!$E$28</definedName>
    <definedName name="IP_Physician">'Base Costs'!$F$28</definedName>
    <definedName name="IP_XrayLab">'Base Costs'!$D$28</definedName>
    <definedName name="Lab">'Base Costs'!$D$20</definedName>
    <definedName name="Matenity_XrayLab">'Base Costs'!$D$6</definedName>
    <definedName name="Maternity_Facility">'Base Costs'!$E$6</definedName>
    <definedName name="Maternity_Inpatient">'Base Costs'!$E$7</definedName>
    <definedName name="Maternity_Office">'Base Costs'!$C$6</definedName>
    <definedName name="Maternity_Physician">'Base Costs'!$F$6</definedName>
    <definedName name="Maternity_XrayLab">'Base Costs'!$D$6</definedName>
    <definedName name="Network_Choice">'Drop Down Parameters'!$A$56:$A$57</definedName>
    <definedName name="NonFormulary">'Drop Down Parameters'!$A$33:$A$52</definedName>
    <definedName name="OONCostLoad">'OOP Calc'!$B$1</definedName>
    <definedName name="P1_Carrier">'Plan Defn'!$B$2</definedName>
    <definedName name="P1_Coins">'Plan Defn'!$D$20</definedName>
    <definedName name="P1_Deduct">'Plan Defn'!$D$6</definedName>
    <definedName name="P1_ER">'Plan Defn'!$D$16</definedName>
    <definedName name="P1_FamMult">'Plan Defn'!$D$7</definedName>
    <definedName name="P1_In_Coins">'Plan Defn'!$B$20</definedName>
    <definedName name="P1_In_Deduct">'Plan Defn'!$B$6</definedName>
    <definedName name="P1_In_ER">'Plan Defn'!$B$16</definedName>
    <definedName name="P1_In_FamMult">'Plan Defn'!$B$7</definedName>
    <definedName name="P1_In_IP_Hosp_Copay">'Plan Defn'!$B$17</definedName>
    <definedName name="P1_In_LabMax">'Plan Defn'!$B$21</definedName>
    <definedName name="P1_In_Maternity_IP_Copay">'Plan Defn'!$B$18</definedName>
    <definedName name="P1_In_OOPMax">'Plan Defn'!$B$8</definedName>
    <definedName name="P1_In_OP_Surgery_Copay">'Plan Defn'!$B$19</definedName>
    <definedName name="P1_In_Ov">'Plan Defn'!$B$11</definedName>
    <definedName name="P1_In_OVCoins">'Plan Defn'!$B$14</definedName>
    <definedName name="P1_In_Rx1">'Plan Defn'!$B$26</definedName>
    <definedName name="P1_In_Rx2">'Plan Defn'!$B$27</definedName>
    <definedName name="P1_In_Rx3">'Plan Defn'!$B$28</definedName>
    <definedName name="P1_IP_Hosp_Copay">'Plan Defn'!$D$17</definedName>
    <definedName name="P1_LabMax">'Plan Defn'!$D$21</definedName>
    <definedName name="P1_Maternity_IP_Copay">'Plan Defn'!$D$18</definedName>
    <definedName name="P1_OOPMax">'Plan Defn'!$D$8</definedName>
    <definedName name="P1_OP_Surg_Copay">'Plan Defn'!$D$19</definedName>
    <definedName name="P1_Out_Coins">'Plan Defn'!$C$20</definedName>
    <definedName name="P1_Out_Deduct">'Plan Defn'!$C$6</definedName>
    <definedName name="P1_Out_ER">'Plan Defn'!$C$16</definedName>
    <definedName name="P1_Out_FamMult">'Plan Defn'!$C$7</definedName>
    <definedName name="P1_Out_IP_Hosp_Copay">'Plan Defn'!$C$17</definedName>
    <definedName name="P1_Out_LabMax">'Plan Defn'!$C$21</definedName>
    <definedName name="P1_Out_Maternity_IP_Copay">'Plan Defn'!$C$18</definedName>
    <definedName name="P1_Out_OOPMax">'Plan Defn'!$C$8</definedName>
    <definedName name="P1_Out_OP_Surgery_Copay">'Plan Defn'!$C$19</definedName>
    <definedName name="P1_Out_Ov">'Plan Defn'!$C$11</definedName>
    <definedName name="P1_Out_OVCoins">'Plan Defn'!$C$14</definedName>
    <definedName name="P1_Out_Rx1">'Plan Defn'!$C$26</definedName>
    <definedName name="P1_Out_Rx2">'Plan Defn'!$C$27</definedName>
    <definedName name="P1_Out_Rx3">'Plan Defn'!$C$28</definedName>
    <definedName name="P1_OV">'Plan Defn'!$D$11</definedName>
    <definedName name="P1_OVCoins">'Plan Defn'!$D$14</definedName>
    <definedName name="P1_Plan">'Plan Defn'!$B$3</definedName>
    <definedName name="P1_Rx1">'Plan Defn'!$D$26</definedName>
    <definedName name="P1_Rx2">'Plan Defn'!$D$27</definedName>
    <definedName name="P1_Rx3">'Plan Defn'!$D$28</definedName>
    <definedName name="P1_RxDed">'Plan Defn'!$B$25</definedName>
    <definedName name="P1_RxDeduct">'Plan Defn'!$B$25</definedName>
    <definedName name="P2_Carrier">'Plan Defn'!$E$2</definedName>
    <definedName name="P2_Coins">'Plan Defn'!$G$20</definedName>
    <definedName name="P2_Deduct">'Plan Defn'!$G$6</definedName>
    <definedName name="P2_ER">'Plan Defn'!$G$16</definedName>
    <definedName name="P2_FamMult">'Plan Defn'!$G$7</definedName>
    <definedName name="P2_In_Coins">'Plan Defn'!$E$20</definedName>
    <definedName name="P2_In_Deduct">'Plan Defn'!$E$6</definedName>
    <definedName name="P2_In_ER">'Plan Defn'!$E$16</definedName>
    <definedName name="P2_In_FamMult">'Plan Defn'!$E$7</definedName>
    <definedName name="P2_In_IP_Hosp_Copay">'Plan Defn'!$E$17</definedName>
    <definedName name="P2_In_LabMax">'Plan Defn'!$E$21</definedName>
    <definedName name="P2_In_Maternity_IP_Copay">'Plan Defn'!$E$18</definedName>
    <definedName name="P2_In_OOPMax">'Plan Defn'!$E$8</definedName>
    <definedName name="P2_In_OP_Surgery_Copay">'Plan Defn'!$E$19</definedName>
    <definedName name="P2_In_OV">'Plan Defn'!$E$11</definedName>
    <definedName name="P2_In_OVCoins">'Plan Defn'!$E$14</definedName>
    <definedName name="P2_In_Rx1">'Plan Defn'!$E$26</definedName>
    <definedName name="P2_In_Rx2">'Plan Defn'!$E$27</definedName>
    <definedName name="P2_In_Rx3">'Plan Defn'!$E$28</definedName>
    <definedName name="P2_IP_Hosp_Copay">'Plan Defn'!$G$17</definedName>
    <definedName name="P2_LabMax">'Plan Defn'!$G$21</definedName>
    <definedName name="P2_Maternity_IP_Copay">'Plan Defn'!$G$18</definedName>
    <definedName name="P2_OOPMax">'Plan Defn'!$G$8</definedName>
    <definedName name="P2_OP_Surg_Copay">'Plan Defn'!$G$19</definedName>
    <definedName name="P2_Out_Coins">'Plan Defn'!$F$20</definedName>
    <definedName name="P2_Out_Deduct">'Plan Defn'!$F$6</definedName>
    <definedName name="P2_Out_ER">'Plan Defn'!$F$16</definedName>
    <definedName name="P2_Out_FamMult">'Plan Defn'!$F$7</definedName>
    <definedName name="P2_Out_IP_Hosp_Copay">'Plan Defn'!$F$17</definedName>
    <definedName name="P2_Out_LabMax">'Plan Defn'!$F$21</definedName>
    <definedName name="P2_Out_Maternity_IP_Copay">'Plan Defn'!$F$18</definedName>
    <definedName name="P2_Out_OOPMax">'Plan Defn'!$F$8</definedName>
    <definedName name="P2_Out_OP_Surgery_Copay">'Plan Defn'!$F$19</definedName>
    <definedName name="P2_Out_OV">'Plan Defn'!$F$11</definedName>
    <definedName name="P2_Out_OVCoins">'Plan Defn'!$F$14</definedName>
    <definedName name="P2_Out_Rx1">'Plan Defn'!$F$26</definedName>
    <definedName name="P2_Out_Rx2">'Plan Defn'!$F$27</definedName>
    <definedName name="P2_Out_Rx3">'Plan Defn'!$F$28</definedName>
    <definedName name="P2_OV">'Plan Defn'!$G$11</definedName>
    <definedName name="P2_OVCoins">'Plan Defn'!$G$14</definedName>
    <definedName name="P2_Plan">'Plan Defn'!$E$3</definedName>
    <definedName name="P2_Rx1">'Plan Defn'!$G$26</definedName>
    <definedName name="P2_Rx2">'Plan Defn'!$G$27</definedName>
    <definedName name="P2_Rx3">'Plan Defn'!$G$28</definedName>
    <definedName name="P2_RxDeduct">'Plan Defn'!$E$25</definedName>
    <definedName name="P3_In_Coins">'Plan Defn'!$H$20</definedName>
    <definedName name="P3_In_Deduct">'Plan Defn'!$H$6</definedName>
    <definedName name="P3_In_ER">'Plan Defn'!$H$16</definedName>
    <definedName name="P3_In_FamMult">'Plan Defn'!$H$7</definedName>
    <definedName name="P3_In_IP_Hosp_Copay">'Plan Defn'!$H$17</definedName>
    <definedName name="P3_In_LabMax">'Plan Defn'!$H$21</definedName>
    <definedName name="P3_In_Maternity_IP_Copay">'Plan Defn'!$H$18</definedName>
    <definedName name="P3_In_OOPMax">'Plan Defn'!$H$8</definedName>
    <definedName name="P3_In_OP_Surgery_Copay">'Plan Defn'!$H$19</definedName>
    <definedName name="P3_In_OV">'Plan Defn'!$H$11</definedName>
    <definedName name="P3_In_OVCoins">'Plan Defn'!$H$14</definedName>
    <definedName name="P3_In_Rx1">'Plan Defn'!$H$26</definedName>
    <definedName name="P3_In_Rx2">'Plan Defn'!$H$27</definedName>
    <definedName name="P3_In_Rx3">'Plan Defn'!$H$28</definedName>
    <definedName name="P3_Out_Coins">'Plan Defn'!$I$20</definedName>
    <definedName name="P3_Out_Deduct">'Plan Defn'!$I$6</definedName>
    <definedName name="P3_Out_ER">'Plan Defn'!$I$16</definedName>
    <definedName name="P3_Out_FamMult">'Plan Defn'!$I$7</definedName>
    <definedName name="P3_Out_IP_Hosp_Copay">'Plan Defn'!$I$17</definedName>
    <definedName name="P3_Out_LabMax">'Plan Defn'!$I$21</definedName>
    <definedName name="P3_Out_Maternity_IP_Copay">'Plan Defn'!$I$18</definedName>
    <definedName name="P3_Out_OOPMax">'Plan Defn'!$I$8</definedName>
    <definedName name="P3_Out_OP_Surgery_Copay">'Plan Defn'!$I$19</definedName>
    <definedName name="P3_Out_OV">'Plan Defn'!$I$11</definedName>
    <definedName name="P3_Out_OVCoins">'Plan Defn'!$I$14</definedName>
    <definedName name="P3_Out_Rx1">'Plan Defn'!$I$26</definedName>
    <definedName name="P3_Out_Rx2">'Plan Defn'!$I$27</definedName>
    <definedName name="P3_Out_Rx3">'Plan Defn'!$I$28</definedName>
    <definedName name="P3_Plan">'Plan Defn'!$H$3</definedName>
    <definedName name="Physical_Office">'Base Costs'!$C$12</definedName>
    <definedName name="Physical_XrayLab">'Base Costs'!$D$12</definedName>
    <definedName name="Primary_Office">'Base Costs'!$C$14</definedName>
    <definedName name="Primary_XrayLab">'Base Costs'!$D$14</definedName>
    <definedName name="_xlnm.Print_Area" localSheetId="0">'Plan Comparison Calculator'!$A$1:$L$57</definedName>
    <definedName name="Specialist_Office">'Base Costs'!$C$16</definedName>
    <definedName name="Specialist_XrayLab">'Base Costs'!$D$16</definedName>
    <definedName name="Surgery_Facility">'Base Costs'!$E$26</definedName>
    <definedName name="Surgery_Physician">'Base Costs'!$F$26</definedName>
    <definedName name="Surgery_XrayLab">'Base Costs'!$E$26</definedName>
    <definedName name="Visits">'Drop Down Parameters'!$C$13:$C$37</definedName>
    <definedName name="Xray">'Base Costs'!$D$22</definedName>
    <definedName name="Z_8FCA42AA_6BA7_4AC9_AD93_66FC46E49A7F_.wvu.PrintArea" localSheetId="0" hidden="1">'Plan Comparison Calculator'!$A$1:$L$57</definedName>
    <definedName name="Z_8FCA42AA_6BA7_4AC9_AD93_66FC46E49A7F_.wvu.Rows" localSheetId="0" hidden="1">'Plan Comparison Calculator'!$49:$49</definedName>
  </definedNames>
  <calcPr calcId="171027"/>
</workbook>
</file>

<file path=xl/calcChain.xml><?xml version="1.0" encoding="utf-8"?>
<calcChain xmlns="http://schemas.openxmlformats.org/spreadsheetml/2006/main">
  <c r="E128" i="2" l="1"/>
  <c r="C136" i="2"/>
  <c r="E136" i="2" s="1"/>
  <c r="C138" i="2"/>
  <c r="E138" i="2" s="1"/>
  <c r="G128" i="2"/>
  <c r="G134" i="2"/>
  <c r="G136" i="2"/>
  <c r="G138" i="2"/>
  <c r="G142" i="2"/>
  <c r="G144" i="2"/>
  <c r="G146" i="2"/>
  <c r="G150" i="2"/>
  <c r="I128" i="2"/>
  <c r="C140" i="2"/>
  <c r="I140" i="2" s="1"/>
  <c r="C148" i="2"/>
  <c r="I148" i="2" s="1"/>
  <c r="C150" i="2"/>
  <c r="I150" i="2" s="1"/>
  <c r="K128" i="2"/>
  <c r="K148" i="2"/>
  <c r="K150" i="2"/>
  <c r="AE128" i="2"/>
  <c r="Y140" i="2"/>
  <c r="AE140" i="2" s="1"/>
  <c r="Y148" i="2"/>
  <c r="AE148" i="2"/>
  <c r="Y150" i="2"/>
  <c r="AG128" i="2"/>
  <c r="AG148" i="2"/>
  <c r="AG150" i="2"/>
  <c r="AE2" i="2"/>
  <c r="Y136" i="2"/>
  <c r="AA136" i="2" s="1"/>
  <c r="Y138" i="2"/>
  <c r="AA138" i="2"/>
  <c r="AC134" i="2"/>
  <c r="AC136" i="2"/>
  <c r="AC138" i="2"/>
  <c r="AC142" i="2"/>
  <c r="AC144" i="2"/>
  <c r="AC146" i="2"/>
  <c r="AC150" i="2"/>
  <c r="T2" i="2"/>
  <c r="N136" i="2"/>
  <c r="P136" i="2" s="1"/>
  <c r="N138" i="2"/>
  <c r="P138" i="2" s="1"/>
  <c r="P128" i="2"/>
  <c r="R128" i="2"/>
  <c r="R134" i="2"/>
  <c r="R136" i="2"/>
  <c r="R138" i="2"/>
  <c r="R142" i="2"/>
  <c r="R144" i="2"/>
  <c r="R146" i="2"/>
  <c r="R150" i="2"/>
  <c r="N140" i="2"/>
  <c r="T140" i="2"/>
  <c r="N148" i="2"/>
  <c r="T148" i="2" s="1"/>
  <c r="N150" i="2"/>
  <c r="T150" i="2" s="1"/>
  <c r="T128" i="2"/>
  <c r="V148" i="2"/>
  <c r="V150" i="2"/>
  <c r="V128" i="2"/>
  <c r="C128" i="2"/>
  <c r="C134" i="2"/>
  <c r="C154" i="2" s="1"/>
  <c r="C165" i="2" s="1"/>
  <c r="N134" i="2"/>
  <c r="N128" i="2"/>
  <c r="Y134" i="2"/>
  <c r="C157" i="2"/>
  <c r="C158" i="2"/>
  <c r="C159" i="2"/>
  <c r="E241" i="2"/>
  <c r="E239" i="2"/>
  <c r="J10" i="1"/>
  <c r="K16" i="1"/>
  <c r="K18" i="1"/>
  <c r="K20" i="1"/>
  <c r="K22" i="1"/>
  <c r="K24" i="1"/>
  <c r="K26" i="1"/>
  <c r="K28" i="1"/>
  <c r="K30" i="1"/>
  <c r="K32" i="1"/>
  <c r="E238" i="2"/>
  <c r="J47" i="1"/>
  <c r="N76" i="2"/>
  <c r="P76" i="2"/>
  <c r="N78" i="2"/>
  <c r="P78" i="2" s="1"/>
  <c r="P68" i="2"/>
  <c r="R68" i="2"/>
  <c r="R74" i="2"/>
  <c r="R76" i="2"/>
  <c r="R78" i="2"/>
  <c r="R82" i="2"/>
  <c r="R84" i="2"/>
  <c r="R86" i="2"/>
  <c r="R90" i="2"/>
  <c r="N80" i="2"/>
  <c r="T80" i="2"/>
  <c r="N88" i="2"/>
  <c r="T88" i="2"/>
  <c r="N90" i="2"/>
  <c r="T90" i="2" s="1"/>
  <c r="T68" i="2"/>
  <c r="V88" i="2"/>
  <c r="V90" i="2"/>
  <c r="V68" i="2"/>
  <c r="Q76" i="2"/>
  <c r="Q78" i="2"/>
  <c r="Q68" i="2"/>
  <c r="S68" i="2"/>
  <c r="S74" i="2"/>
  <c r="S76" i="2"/>
  <c r="S78" i="2"/>
  <c r="S82" i="2"/>
  <c r="S84" i="2"/>
  <c r="S86" i="2"/>
  <c r="S90" i="2"/>
  <c r="U80" i="2"/>
  <c r="U88" i="2"/>
  <c r="U90" i="2"/>
  <c r="U68" i="2"/>
  <c r="W88" i="2"/>
  <c r="W90" i="2"/>
  <c r="W68" i="2"/>
  <c r="AE68" i="2"/>
  <c r="Y80" i="2"/>
  <c r="AE80" i="2"/>
  <c r="Y88" i="2"/>
  <c r="AE88" i="2"/>
  <c r="Y90" i="2"/>
  <c r="AE90" i="2" s="1"/>
  <c r="AG68" i="2"/>
  <c r="AG88" i="2"/>
  <c r="AG90" i="2"/>
  <c r="Y76" i="2"/>
  <c r="Y78" i="2"/>
  <c r="AA78" i="2" s="1"/>
  <c r="AC74" i="2"/>
  <c r="AC76" i="2"/>
  <c r="AC78" i="2"/>
  <c r="AC82" i="2"/>
  <c r="AC84" i="2"/>
  <c r="AC86" i="2"/>
  <c r="AC90" i="2"/>
  <c r="AF68" i="2"/>
  <c r="AF80" i="2"/>
  <c r="AF88" i="2"/>
  <c r="AF90" i="2"/>
  <c r="AH68" i="2"/>
  <c r="AH88" i="2"/>
  <c r="AH90" i="2"/>
  <c r="AB76" i="2"/>
  <c r="AB78" i="2"/>
  <c r="AD74" i="2"/>
  <c r="AD76" i="2"/>
  <c r="AD78" i="2"/>
  <c r="AD82" i="2"/>
  <c r="AD84" i="2"/>
  <c r="AD86" i="2"/>
  <c r="AD90" i="2"/>
  <c r="E68" i="2"/>
  <c r="C76" i="2"/>
  <c r="E76" i="2"/>
  <c r="C78" i="2"/>
  <c r="E78" i="2" s="1"/>
  <c r="G68" i="2"/>
  <c r="G74" i="2"/>
  <c r="G76" i="2"/>
  <c r="G78" i="2"/>
  <c r="G82" i="2"/>
  <c r="G84" i="2"/>
  <c r="G86" i="2"/>
  <c r="G90" i="2"/>
  <c r="I68" i="2"/>
  <c r="C80" i="2"/>
  <c r="I80" i="2"/>
  <c r="C88" i="2"/>
  <c r="I88" i="2" s="1"/>
  <c r="C90" i="2"/>
  <c r="I90" i="2" s="1"/>
  <c r="K68" i="2"/>
  <c r="K88" i="2"/>
  <c r="K90" i="2"/>
  <c r="F68" i="2"/>
  <c r="F76" i="2"/>
  <c r="F78" i="2"/>
  <c r="H68" i="2"/>
  <c r="H74" i="2"/>
  <c r="H76" i="2"/>
  <c r="H78" i="2"/>
  <c r="H82" i="2"/>
  <c r="H84" i="2"/>
  <c r="H86" i="2"/>
  <c r="H90" i="2"/>
  <c r="J68" i="2"/>
  <c r="J80" i="2"/>
  <c r="J88" i="2"/>
  <c r="J90" i="2"/>
  <c r="L68" i="2"/>
  <c r="L88" i="2"/>
  <c r="L90" i="2"/>
  <c r="C68" i="2"/>
  <c r="C74" i="2"/>
  <c r="N74" i="2"/>
  <c r="P74" i="2" s="1"/>
  <c r="N68" i="2"/>
  <c r="Y74" i="2"/>
  <c r="AA74" i="2" s="1"/>
  <c r="C97" i="2"/>
  <c r="C98" i="2"/>
  <c r="C99" i="2"/>
  <c r="E121" i="2"/>
  <c r="E119" i="2"/>
  <c r="E118" i="2"/>
  <c r="G47" i="1"/>
  <c r="E181" i="2"/>
  <c r="E179" i="2"/>
  <c r="E178" i="2"/>
  <c r="I47" i="1"/>
  <c r="E44" i="3"/>
  <c r="B44" i="3"/>
  <c r="J48" i="1"/>
  <c r="E180" i="2"/>
  <c r="Y196" i="2"/>
  <c r="AA196" i="2" s="1"/>
  <c r="Y198" i="2"/>
  <c r="AA198" i="2" s="1"/>
  <c r="AC194" i="2"/>
  <c r="AC196" i="2"/>
  <c r="AC198" i="2"/>
  <c r="AC202" i="2"/>
  <c r="AC204" i="2"/>
  <c r="AC206" i="2"/>
  <c r="AC210" i="2"/>
  <c r="Y200" i="2"/>
  <c r="AE200" i="2" s="1"/>
  <c r="Y208" i="2"/>
  <c r="AE208" i="2" s="1"/>
  <c r="Y210" i="2"/>
  <c r="AE210" i="2" s="1"/>
  <c r="AE188" i="2"/>
  <c r="AG208" i="2"/>
  <c r="AG210" i="2"/>
  <c r="AG188" i="2"/>
  <c r="C196" i="2"/>
  <c r="E196" i="2" s="1"/>
  <c r="C198" i="2"/>
  <c r="E198" i="2" s="1"/>
  <c r="E188" i="2"/>
  <c r="G188" i="2"/>
  <c r="G194" i="2"/>
  <c r="G196" i="2"/>
  <c r="G198" i="2"/>
  <c r="G202" i="2"/>
  <c r="G204" i="2"/>
  <c r="G206" i="2"/>
  <c r="G210" i="2"/>
  <c r="C200" i="2"/>
  <c r="I200" i="2" s="1"/>
  <c r="C208" i="2"/>
  <c r="I208" i="2" s="1"/>
  <c r="C210" i="2"/>
  <c r="I188" i="2"/>
  <c r="K208" i="2"/>
  <c r="K210" i="2"/>
  <c r="K188" i="2"/>
  <c r="N196" i="2"/>
  <c r="P196" i="2" s="1"/>
  <c r="N198" i="2"/>
  <c r="P198" i="2" s="1"/>
  <c r="P188" i="2"/>
  <c r="R188" i="2"/>
  <c r="R194" i="2"/>
  <c r="R196" i="2"/>
  <c r="R198" i="2"/>
  <c r="R202" i="2"/>
  <c r="R204" i="2"/>
  <c r="R206" i="2"/>
  <c r="R210" i="2"/>
  <c r="N200" i="2"/>
  <c r="T200" i="2" s="1"/>
  <c r="N208" i="2"/>
  <c r="T208" i="2" s="1"/>
  <c r="N210" i="2"/>
  <c r="T210" i="2" s="1"/>
  <c r="T188" i="2"/>
  <c r="V208" i="2"/>
  <c r="V210" i="2"/>
  <c r="V188" i="2"/>
  <c r="E243" i="2"/>
  <c r="E242" i="2"/>
  <c r="E240" i="2"/>
  <c r="N194" i="2"/>
  <c r="N188" i="2"/>
  <c r="C219" i="2"/>
  <c r="C218" i="2"/>
  <c r="C217" i="2"/>
  <c r="C194" i="2"/>
  <c r="E194" i="2" s="1"/>
  <c r="C188" i="2"/>
  <c r="A198" i="2"/>
  <c r="Y194" i="2"/>
  <c r="AA194" i="2" s="1"/>
  <c r="P194" i="2"/>
  <c r="B49" i="3"/>
  <c r="B48" i="3"/>
  <c r="B47" i="3"/>
  <c r="B46" i="3"/>
  <c r="B45" i="3"/>
  <c r="E182" i="2"/>
  <c r="E183" i="2"/>
  <c r="E120" i="2"/>
  <c r="E122" i="2"/>
  <c r="E123" i="2"/>
  <c r="E53" i="3"/>
  <c r="E52" i="3"/>
  <c r="C56" i="3"/>
  <c r="C54" i="3"/>
  <c r="C53" i="3"/>
  <c r="C52" i="3"/>
  <c r="Z74" i="2"/>
  <c r="AB74" i="2"/>
  <c r="O74" i="2"/>
  <c r="Q74" i="2"/>
  <c r="D74" i="2"/>
  <c r="AG8" i="2"/>
  <c r="AE8" i="2"/>
  <c r="E56" i="3"/>
  <c r="B56" i="3"/>
  <c r="E54" i="3"/>
  <c r="B54" i="3"/>
  <c r="B53" i="3"/>
  <c r="B52" i="3"/>
  <c r="AA134" i="2"/>
  <c r="P134" i="2"/>
  <c r="Y14" i="2"/>
  <c r="AA14" i="2" s="1"/>
  <c r="N14" i="2"/>
  <c r="P14" i="2" s="1"/>
  <c r="C14" i="2"/>
  <c r="E14" i="2" s="1"/>
  <c r="D80" i="2"/>
  <c r="G45" i="1"/>
  <c r="I45" i="1"/>
  <c r="C16" i="2"/>
  <c r="E16" i="2" s="1"/>
  <c r="C18" i="2"/>
  <c r="E18" i="2" s="1"/>
  <c r="E8" i="2"/>
  <c r="G8" i="2"/>
  <c r="G14" i="2"/>
  <c r="G16" i="2"/>
  <c r="G18" i="2"/>
  <c r="G22" i="2"/>
  <c r="G24" i="2"/>
  <c r="G26" i="2"/>
  <c r="G30" i="2"/>
  <c r="C20" i="2"/>
  <c r="I20" i="2" s="1"/>
  <c r="C28" i="2"/>
  <c r="I28" i="2" s="1"/>
  <c r="C30" i="2"/>
  <c r="I30" i="2" s="1"/>
  <c r="I8" i="2"/>
  <c r="K28" i="2"/>
  <c r="K30" i="2"/>
  <c r="K8" i="2"/>
  <c r="N16" i="2"/>
  <c r="P16" i="2" s="1"/>
  <c r="N18" i="2"/>
  <c r="P18" i="2" s="1"/>
  <c r="P8" i="2"/>
  <c r="R8" i="2"/>
  <c r="R14" i="2"/>
  <c r="R16" i="2"/>
  <c r="R18" i="2"/>
  <c r="R22" i="2"/>
  <c r="R24" i="2"/>
  <c r="R26" i="2"/>
  <c r="R30" i="2"/>
  <c r="N20" i="2"/>
  <c r="T20" i="2" s="1"/>
  <c r="N28" i="2"/>
  <c r="T28" i="2" s="1"/>
  <c r="N30" i="2"/>
  <c r="T30" i="2" s="1"/>
  <c r="T8" i="2"/>
  <c r="V28" i="2"/>
  <c r="V30" i="2"/>
  <c r="V8" i="2"/>
  <c r="Y16" i="2"/>
  <c r="AA16" i="2" s="1"/>
  <c r="Y18" i="2"/>
  <c r="AA18" i="2" s="1"/>
  <c r="AC14" i="2"/>
  <c r="AC16" i="2"/>
  <c r="AC18" i="2"/>
  <c r="AC22" i="2"/>
  <c r="AC24" i="2"/>
  <c r="AC26" i="2"/>
  <c r="AC30" i="2"/>
  <c r="Y20" i="2"/>
  <c r="AE20" i="2" s="1"/>
  <c r="Y28" i="2"/>
  <c r="AE28" i="2" s="1"/>
  <c r="Y30" i="2"/>
  <c r="AE30" i="2" s="1"/>
  <c r="AG28" i="2"/>
  <c r="AG30" i="2"/>
  <c r="C37" i="2"/>
  <c r="C38" i="2"/>
  <c r="C39" i="2"/>
  <c r="C8" i="2"/>
  <c r="N8" i="2"/>
  <c r="D88" i="2"/>
  <c r="O80" i="2"/>
  <c r="O88" i="2"/>
  <c r="Z80" i="2"/>
  <c r="Z88" i="2"/>
  <c r="F74" i="2"/>
  <c r="D76" i="2"/>
  <c r="D78" i="2"/>
  <c r="D90" i="2"/>
  <c r="D68" i="2"/>
  <c r="O76" i="2"/>
  <c r="O78" i="2"/>
  <c r="O90" i="2"/>
  <c r="O68" i="2"/>
  <c r="Z76" i="2"/>
  <c r="Z78" i="2"/>
  <c r="Z90" i="2"/>
  <c r="A10" i="2"/>
  <c r="A78" i="2"/>
  <c r="A138" i="2"/>
  <c r="B34" i="3"/>
  <c r="C34" i="3"/>
  <c r="E34" i="3"/>
  <c r="A9" i="5"/>
  <c r="A10" i="5"/>
  <c r="A11" i="5"/>
  <c r="A12" i="5"/>
  <c r="A13" i="5" s="1"/>
  <c r="A14" i="5" s="1"/>
  <c r="A15" i="5" s="1"/>
  <c r="A16" i="5" s="1"/>
  <c r="A17" i="5" s="1"/>
  <c r="A22" i="5"/>
  <c r="A23" i="5"/>
  <c r="A24" i="5"/>
  <c r="A25" i="5" s="1"/>
  <c r="A26" i="5" s="1"/>
  <c r="A27" i="5" s="1"/>
  <c r="A28" i="5" s="1"/>
  <c r="A29" i="5" s="1"/>
  <c r="A30" i="5" s="1"/>
  <c r="A34" i="5"/>
  <c r="A35" i="5"/>
  <c r="A36" i="5" s="1"/>
  <c r="A37" i="5" s="1"/>
  <c r="A38" i="5" s="1"/>
  <c r="A39" i="5" s="1"/>
  <c r="A40" i="5" s="1"/>
  <c r="A41" i="5" s="1"/>
  <c r="A42" i="5" s="1"/>
  <c r="A43" i="5" s="1"/>
  <c r="A44" i="5" s="1"/>
  <c r="A45" i="5" s="1"/>
  <c r="A46" i="5" s="1"/>
  <c r="A47" i="5" s="1"/>
  <c r="A48" i="5" s="1"/>
  <c r="A49" i="5" s="1"/>
  <c r="A50" i="5" s="1"/>
  <c r="A51" i="5" s="1"/>
  <c r="A52" i="5" s="1"/>
  <c r="E134" i="2" l="1"/>
  <c r="C94" i="2"/>
  <c r="AA154" i="2"/>
  <c r="K34" i="2"/>
  <c r="E74" i="2"/>
  <c r="AA34" i="2"/>
  <c r="E214" i="2"/>
  <c r="Y94" i="2"/>
  <c r="I154" i="2"/>
  <c r="D94" i="2"/>
  <c r="C105" i="2" s="1"/>
  <c r="P94" i="2"/>
  <c r="V154" i="2"/>
  <c r="T154" i="2"/>
  <c r="P214" i="2"/>
  <c r="E34" i="2"/>
  <c r="C214" i="2"/>
  <c r="C225" i="2" s="1"/>
  <c r="Y154" i="2"/>
  <c r="C221" i="2"/>
  <c r="C41" i="2"/>
  <c r="C161" i="2"/>
  <c r="L181" i="2" s="1"/>
  <c r="C101" i="2"/>
  <c r="L121" i="2" s="1"/>
  <c r="K154" i="2"/>
  <c r="R34" i="2"/>
  <c r="C34" i="2"/>
  <c r="C45" i="2" s="1"/>
  <c r="K214" i="2"/>
  <c r="I210" i="2"/>
  <c r="I214" i="2" s="1"/>
  <c r="K94" i="2"/>
  <c r="I94" i="2"/>
  <c r="V214" i="2"/>
  <c r="V94" i="2"/>
  <c r="R94" i="2"/>
  <c r="AA76" i="2"/>
  <c r="Z94" i="2"/>
  <c r="AG214" i="2"/>
  <c r="AG94" i="2"/>
  <c r="AG34" i="2"/>
  <c r="AE150" i="2"/>
  <c r="AE154" i="2" s="1"/>
  <c r="AE34" i="2"/>
  <c r="AH94" i="2"/>
  <c r="AG154" i="2"/>
  <c r="AA94" i="2"/>
  <c r="Y34" i="2"/>
  <c r="Y45" i="2" s="1"/>
  <c r="Y214" i="2"/>
  <c r="Y225" i="2" s="1"/>
  <c r="AC94" i="2"/>
  <c r="R214" i="2"/>
  <c r="G94" i="2"/>
  <c r="AC34" i="2"/>
  <c r="G34" i="2"/>
  <c r="AC214" i="2"/>
  <c r="H94" i="2"/>
  <c r="AC154" i="2"/>
  <c r="G214" i="2"/>
  <c r="G154" i="2"/>
  <c r="AE94" i="2"/>
  <c r="I34" i="2"/>
  <c r="AE214" i="2"/>
  <c r="T34" i="2"/>
  <c r="AF94" i="2"/>
  <c r="AD94" i="2"/>
  <c r="AA214" i="2"/>
  <c r="AB94" i="2"/>
  <c r="Q94" i="2"/>
  <c r="E154" i="2"/>
  <c r="E94" i="2"/>
  <c r="P154" i="2"/>
  <c r="P34" i="2"/>
  <c r="F94" i="2"/>
  <c r="R154" i="2"/>
  <c r="T214" i="2"/>
  <c r="T94" i="2"/>
  <c r="W94" i="2"/>
  <c r="O94" i="2"/>
  <c r="U94" i="2"/>
  <c r="N214" i="2"/>
  <c r="N225" i="2" s="1"/>
  <c r="N154" i="2"/>
  <c r="L180" i="2" s="1"/>
  <c r="S94" i="2"/>
  <c r="N34" i="2"/>
  <c r="N45" i="2" s="1"/>
  <c r="V34" i="2"/>
  <c r="N94" i="2"/>
  <c r="L120" i="2" s="1"/>
  <c r="L94" i="2"/>
  <c r="J94" i="2"/>
  <c r="Y165" i="2"/>
  <c r="Y105" i="2"/>
  <c r="R13" i="1"/>
  <c r="C108" i="2" l="1"/>
  <c r="Y226" i="2"/>
  <c r="Y231" i="2" s="1"/>
  <c r="Y234" i="2" s="1"/>
  <c r="C48" i="2"/>
  <c r="C166" i="2"/>
  <c r="C171" i="2" s="1"/>
  <c r="N108" i="2"/>
  <c r="C228" i="2"/>
  <c r="N228" i="2"/>
  <c r="L240" i="2"/>
  <c r="Y108" i="2"/>
  <c r="Y46" i="2"/>
  <c r="Y51" i="2" s="1"/>
  <c r="Y107" i="2"/>
  <c r="Y228" i="2"/>
  <c r="N226" i="2"/>
  <c r="N231" i="2" s="1"/>
  <c r="Y166" i="2"/>
  <c r="Y171" i="2" s="1"/>
  <c r="Y48" i="2"/>
  <c r="C106" i="2"/>
  <c r="Y168" i="2"/>
  <c r="C226" i="2"/>
  <c r="C231" i="2" s="1"/>
  <c r="C46" i="2"/>
  <c r="C51" i="2" s="1"/>
  <c r="C54" i="2" s="1"/>
  <c r="C168" i="2"/>
  <c r="Y106" i="2"/>
  <c r="N106" i="2"/>
  <c r="Y109" i="2"/>
  <c r="N168" i="2"/>
  <c r="N46" i="2"/>
  <c r="N51" i="2" s="1"/>
  <c r="N166" i="2"/>
  <c r="N171" i="2" s="1"/>
  <c r="C107" i="2"/>
  <c r="C109" i="2"/>
  <c r="N107" i="2"/>
  <c r="N109" i="2"/>
  <c r="N105" i="2"/>
  <c r="N48" i="2"/>
  <c r="N165" i="2"/>
  <c r="C222" i="2" l="1"/>
  <c r="C174" i="2"/>
  <c r="V238" i="2"/>
  <c r="L238" i="2" s="1"/>
  <c r="N234" i="2"/>
  <c r="N111" i="2"/>
  <c r="N114" i="2" s="1"/>
  <c r="Y111" i="2"/>
  <c r="Y114" i="2" s="1"/>
  <c r="Y54" i="2"/>
  <c r="Y112" i="2"/>
  <c r="Y115" i="2" s="1"/>
  <c r="Y174" i="2"/>
  <c r="C112" i="2"/>
  <c r="C115" i="2" s="1"/>
  <c r="V58" i="2"/>
  <c r="C111" i="2"/>
  <c r="C114" i="2" s="1"/>
  <c r="N174" i="2"/>
  <c r="V178" i="2"/>
  <c r="L178" i="2" s="1"/>
  <c r="N54" i="2"/>
  <c r="N112" i="2"/>
  <c r="N115" i="2" s="1"/>
  <c r="C234" i="2"/>
  <c r="C223" i="2" l="1"/>
  <c r="L241" i="2" s="1"/>
  <c r="V241" i="2"/>
  <c r="L239" i="2" s="1"/>
  <c r="V121" i="2"/>
  <c r="L119" i="2" s="1"/>
  <c r="V61" i="2"/>
  <c r="V181" i="2"/>
  <c r="L179" i="2" s="1"/>
  <c r="F183" i="2" s="1"/>
  <c r="D183" i="2" s="1"/>
  <c r="V118" i="2"/>
  <c r="L118" i="2" s="1"/>
  <c r="V119" i="2"/>
  <c r="V122" i="2"/>
  <c r="F180" i="2" l="1"/>
  <c r="D180" i="2" s="1"/>
  <c r="F238" i="2"/>
  <c r="D238" i="2" s="1"/>
  <c r="F242" i="2"/>
  <c r="D242" i="2" s="1"/>
  <c r="F240" i="2"/>
  <c r="D240" i="2" s="1"/>
  <c r="F239" i="2"/>
  <c r="D239" i="2" s="1"/>
  <c r="F241" i="2"/>
  <c r="D241" i="2" s="1"/>
  <c r="F243" i="2"/>
  <c r="D243" i="2" s="1"/>
  <c r="F123" i="2"/>
  <c r="D123" i="2" s="1"/>
  <c r="F178" i="2"/>
  <c r="D178" i="2" s="1"/>
  <c r="F179" i="2"/>
  <c r="D179" i="2" s="1"/>
  <c r="F182" i="2"/>
  <c r="D182" i="2" s="1"/>
  <c r="F181" i="2"/>
  <c r="D181" i="2" s="1"/>
  <c r="F120" i="2"/>
  <c r="D120" i="2" s="1"/>
  <c r="F122" i="2"/>
  <c r="D122" i="2" s="1"/>
  <c r="F118" i="2"/>
  <c r="D118" i="2" s="1"/>
  <c r="F119" i="2"/>
  <c r="D119" i="2" s="1"/>
  <c r="F121" i="2"/>
  <c r="D121" i="2" s="1"/>
  <c r="J46" i="1" l="1"/>
  <c r="J52" i="1" s="1"/>
  <c r="I46" i="1"/>
  <c r="I52" i="1" s="1"/>
  <c r="G46" i="1"/>
  <c r="G52" i="1" l="1"/>
  <c r="I49" i="1"/>
</calcChain>
</file>

<file path=xl/sharedStrings.xml><?xml version="1.0" encoding="utf-8"?>
<sst xmlns="http://schemas.openxmlformats.org/spreadsheetml/2006/main" count="597" uniqueCount="139">
  <si>
    <t xml:space="preserve">Pacific Lutheran University                    </t>
  </si>
  <si>
    <t xml:space="preserve">1) COVERAGE LEVEL </t>
  </si>
  <si>
    <t>Select the level of Coverage from the Drop Down Menu</t>
  </si>
  <si>
    <t>Employee Only</t>
  </si>
  <si>
    <t>2) MEDICAL USE</t>
  </si>
  <si>
    <t>Network</t>
  </si>
  <si>
    <t>Employee</t>
  </si>
  <si>
    <t>Spouse</t>
  </si>
  <si>
    <t>a) Place an 'X' in the box to the right if you or your COVERED spouse will have a baby in the upcoming contract year</t>
  </si>
  <si>
    <t>PLUS ONLY Out-of-Network</t>
  </si>
  <si>
    <t>NOT INCLUDING PREGNANCY RELATED VISITS, input the total combined expected visits that you and your family will have over the next 12 months and also CHOOSE WHETHER THE VISITS WILL BE IN-NETWORK or OUT-OF-NETWORK</t>
  </si>
  <si>
    <t>Child(ren)</t>
  </si>
  <si>
    <t>b) # of Annual Physicals</t>
  </si>
  <si>
    <t>In-Network</t>
  </si>
  <si>
    <t>c) # of Primary Care Visits</t>
  </si>
  <si>
    <t>d) # of Specialist Visits</t>
  </si>
  <si>
    <t>e) # of Emergency Room Visits</t>
  </si>
  <si>
    <t xml:space="preserve">f) # of Lab Tests </t>
  </si>
  <si>
    <t>g) # of X-rays</t>
  </si>
  <si>
    <t>h) # of CAT scans/MRIs, etc.</t>
  </si>
  <si>
    <t>i) # of Outpatient Surgeries</t>
  </si>
  <si>
    <t>j) # of Inpatient Hospital Admissions (excluding maternity w delivery)</t>
  </si>
  <si>
    <t>.</t>
  </si>
  <si>
    <t>3) PRESCRIPTION USE</t>
  </si>
  <si>
    <t>Input the total combined expected prescriptions by type that you and your family will have over the next 12 months:</t>
  </si>
  <si>
    <t># of Prescriptions</t>
  </si>
  <si>
    <t>Total Family # of fills</t>
  </si>
  <si>
    <t>a) Generic</t>
  </si>
  <si>
    <t>b) Preferred Brand</t>
  </si>
  <si>
    <t>c) Non-Preferred Brand</t>
  </si>
  <si>
    <t>4) Out of Pocket</t>
  </si>
  <si>
    <t>a) Benefit Cost Sharing</t>
  </si>
  <si>
    <t>TOTAL EMPLOYEE OUT OF POCKET (premium share + benefit cost share)</t>
  </si>
  <si>
    <t>YOUR PROJECTED ANNUAL COST =</t>
  </si>
  <si>
    <t>The tool is not designed for exact budgeting, but it will provide a baseline of how the cost and benefits of each option compare. If you would like assistance at a more personal level, please contact your Strategist at Albers &amp; Company.</t>
  </si>
  <si>
    <t>Assumed Out of Network Cost Load:</t>
  </si>
  <si>
    <t>Benefit Adjudication Multiplyer:</t>
  </si>
  <si>
    <t>Copay</t>
  </si>
  <si>
    <t>Office</t>
  </si>
  <si>
    <t>Outpatient/
 Xray&amp;Lab</t>
  </si>
  <si>
    <t>Facility</t>
  </si>
  <si>
    <t>Physician</t>
  </si>
  <si>
    <t>NETWORK</t>
  </si>
  <si>
    <t>IN</t>
  </si>
  <si>
    <t>OUT</t>
  </si>
  <si>
    <t>Maternity</t>
  </si>
  <si>
    <t># of Annual Physicals</t>
  </si>
  <si>
    <t># of Primary Care Visits</t>
  </si>
  <si>
    <t># of Specialist Visits</t>
  </si>
  <si>
    <t># of Emergency Room Visits</t>
  </si>
  <si>
    <t xml:space="preserve"># of Lab Tests </t>
  </si>
  <si>
    <t># of X-rays</t>
  </si>
  <si>
    <t># of CAT scans/MRIs/Etc.</t>
  </si>
  <si>
    <t># of Outpatient Surgeries</t>
  </si>
  <si>
    <t># of Inpatient Hospital Admissions</t>
  </si>
  <si>
    <t>Rx Cost</t>
  </si>
  <si>
    <t>TOTAL Rx Copays</t>
  </si>
  <si>
    <t>Non Rx Copays</t>
  </si>
  <si>
    <t>Grand Total Deductible - In-Network</t>
  </si>
  <si>
    <t>Grand Total Coinsurance - In-Network</t>
  </si>
  <si>
    <t>Deductible OOP - In-Network</t>
  </si>
  <si>
    <t>Coinsurance OOP - In-Network</t>
  </si>
  <si>
    <t>Family Deduct OOP - In-Network</t>
  </si>
  <si>
    <t>Familiy Coinsurance OOP - In-Network</t>
  </si>
  <si>
    <t>Grand Total Deductible - Out-of-Network</t>
  </si>
  <si>
    <t>Grand Total Coinsurance - Out-of-Network</t>
  </si>
  <si>
    <t>Deductible OOP - Out-of-Network</t>
  </si>
  <si>
    <t>Coinsurance OOP - Out-of-Network</t>
  </si>
  <si>
    <t>Family Deduct OOP - Out-of-Network</t>
  </si>
  <si>
    <t>Familiy Coinsurance OOP - Out-of-Network</t>
  </si>
  <si>
    <t>PLAN DEFINITION</t>
  </si>
  <si>
    <t>Carrier</t>
  </si>
  <si>
    <t>Group Health</t>
  </si>
  <si>
    <t>Plan Name</t>
  </si>
  <si>
    <t>Essentials</t>
  </si>
  <si>
    <t>In Network</t>
  </si>
  <si>
    <t>Out of Network</t>
  </si>
  <si>
    <t>Deductible</t>
  </si>
  <si>
    <t>Family Max __x</t>
  </si>
  <si>
    <t>Coinsurance OOP Max</t>
  </si>
  <si>
    <t>OV Copay</t>
  </si>
  <si>
    <t>OV # 1st $ Visits</t>
  </si>
  <si>
    <t>Wellness Ded Waived but Coins Apply</t>
  </si>
  <si>
    <t>Office Coinsurance %</t>
  </si>
  <si>
    <t>ER Copay</t>
  </si>
  <si>
    <t>IP Hospital Copay</t>
  </si>
  <si>
    <t>Maternity IP Admit Copay</t>
  </si>
  <si>
    <t>OP Surgery Copay</t>
  </si>
  <si>
    <t>Other Coinsurance %</t>
  </si>
  <si>
    <t>1st Dollar Xray Lab Benefit</t>
  </si>
  <si>
    <t>Xray/Lab Coinsurance Office</t>
  </si>
  <si>
    <t>Xray/Lab Coinsurance Facility</t>
  </si>
  <si>
    <t>Rx Deduct</t>
  </si>
  <si>
    <t>Rx Tier 1</t>
  </si>
  <si>
    <t>Rx Tier 2</t>
  </si>
  <si>
    <t>Rx Tier 3</t>
  </si>
  <si>
    <t xml:space="preserve"> = inactive</t>
  </si>
  <si>
    <t>Employee Cost Sharing</t>
  </si>
  <si>
    <t>Child</t>
  </si>
  <si>
    <t>Adjudication</t>
  </si>
  <si>
    <t>Employee + Spouse</t>
  </si>
  <si>
    <t>Employee + Spouse + Child</t>
  </si>
  <si>
    <t>Employee + Spouse + Child(ren)</t>
  </si>
  <si>
    <t>Employee + Child</t>
  </si>
  <si>
    <t>Employee + Child(ren)</t>
  </si>
  <si>
    <t>HSA</t>
  </si>
  <si>
    <t>Contribution</t>
  </si>
  <si>
    <t>Gross Costs</t>
  </si>
  <si>
    <t>Innova</t>
  </si>
  <si>
    <t xml:space="preserve">This cost modeling tool is for a quick comparison only. It produces a projection for your annual, out of pocket cost based on the coverage level and plan you select. For this comparison tool, out of pocket cost is defined as a combination of your payroll contribution toward premiums as well as your deductibles, copays, etc. throughout the year that are not reimbursed by insurance or your employer.
</t>
  </si>
  <si>
    <t>Maternity - Adult</t>
  </si>
  <si>
    <t>Maternity - Baby</t>
  </si>
  <si>
    <r>
      <t xml:space="preserve">ABOVE PLAN COMPARISON ASSUMES THERE IS NO ADDITIONAL COVERAGE (e.g. - coverage through Medicare or a spouse)
</t>
    </r>
    <r>
      <rPr>
        <b/>
        <sz val="14"/>
        <color indexed="10"/>
        <rFont val="Arial"/>
        <family val="2"/>
      </rPr>
      <t>ABOVE ANALYSIS IS FOR ILLUSTRATIVE PURPOSES ONLY.  ACTUAL COSTS WILL VARY.</t>
    </r>
  </si>
  <si>
    <t>ERROR</t>
  </si>
  <si>
    <t>Actual Max</t>
  </si>
  <si>
    <t>Plan Max OOP</t>
  </si>
  <si>
    <t>Sum Copay/Ded/Coins</t>
  </si>
  <si>
    <t>INCLUDES Rx</t>
  </si>
  <si>
    <t>Family Deduct OOP</t>
  </si>
  <si>
    <t>Familiy Coinsurance OOP</t>
  </si>
  <si>
    <t>Family Other Copays</t>
  </si>
  <si>
    <t>Family RX Copays</t>
  </si>
  <si>
    <t>Individual Max Out of Pocket</t>
  </si>
  <si>
    <t>Family Max Out of Pocket</t>
  </si>
  <si>
    <t>Access PPO</t>
  </si>
  <si>
    <t>b) Annual Payroll Deductions</t>
  </si>
  <si>
    <t>The calculator is based on a 30-day retail, you need to enter in your utilization based on this information.  If you want an estimation for mail-order annually, you can enter in 8 for the year as you would typically fill four times for the year and you pay twice the retail copay for a 90-day mail order supply  (2 retail copays x 4 fills)</t>
  </si>
  <si>
    <t>FSA</t>
  </si>
  <si>
    <t>Benefit Cost Sharing + Annual Employee Premium Contribution - Employer FSA or HSA Contribution (if any)</t>
  </si>
  <si>
    <t>n/a</t>
  </si>
  <si>
    <t>Generic Rx</t>
  </si>
  <si>
    <t>Preferred Brand Rx</t>
  </si>
  <si>
    <t>Non-Preferred Brand Rx</t>
  </si>
  <si>
    <t>Average Cost of Rx</t>
  </si>
  <si>
    <t>TOTAL Rx Costs</t>
  </si>
  <si>
    <t>EE Only Rx</t>
  </si>
  <si>
    <t>Family Rx</t>
  </si>
  <si>
    <t>c) less Employer HSA Contribution</t>
  </si>
  <si>
    <t>PLU Good Fit Medical Plan Calculator - 2018-19 Plan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</si>
</sst>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164" formatCode="&quot;$&quot;#,##0.00"/>
    <numFmt numFmtId="165" formatCode="&quot;$&quot;#,##0"/>
  </numFmts>
  <fonts count="31" x14ac:knownFonts="1">
    <font>
      <sz val="10"/>
      <name val="Arial"/>
    </font>
    <font>
      <sz val="10"/>
      <name val="Arial"/>
      <family val="2"/>
    </font>
    <font>
      <sz val="8"/>
      <name val="Arial"/>
      <family val="2"/>
    </font>
    <font>
      <b/>
      <sz val="42"/>
      <name val="Arial"/>
      <family val="2"/>
    </font>
    <font>
      <b/>
      <sz val="22"/>
      <name val="Arial"/>
      <family val="2"/>
    </font>
    <font>
      <sz val="11"/>
      <name val="Arial"/>
      <family val="2"/>
    </font>
    <font>
      <b/>
      <sz val="20"/>
      <color indexed="10"/>
      <name val="Arial"/>
      <family val="2"/>
    </font>
    <font>
      <b/>
      <sz val="18"/>
      <name val="Arial"/>
      <family val="2"/>
    </font>
    <font>
      <b/>
      <sz val="12"/>
      <name val="Arial"/>
      <family val="2"/>
    </font>
    <font>
      <sz val="12"/>
      <name val="Arial"/>
      <family val="2"/>
    </font>
    <font>
      <b/>
      <sz val="12"/>
      <color indexed="51"/>
      <name val="Arial"/>
      <family val="2"/>
    </font>
    <font>
      <sz val="12"/>
      <color indexed="51"/>
      <name val="Arial"/>
      <family val="2"/>
    </font>
    <font>
      <sz val="11"/>
      <name val="Arial"/>
      <family val="2"/>
    </font>
    <font>
      <b/>
      <sz val="11"/>
      <name val="Arial"/>
      <family val="2"/>
    </font>
    <font>
      <b/>
      <sz val="10"/>
      <name val="Arial"/>
      <family val="2"/>
    </font>
    <font>
      <b/>
      <sz val="11"/>
      <color indexed="10"/>
      <name val="Arial"/>
      <family val="2"/>
    </font>
    <font>
      <b/>
      <sz val="16"/>
      <color indexed="51"/>
      <name val="Arial"/>
      <family val="2"/>
    </font>
    <font>
      <b/>
      <sz val="18"/>
      <color indexed="51"/>
      <name val="Arial"/>
      <family val="2"/>
    </font>
    <font>
      <sz val="11"/>
      <color indexed="51"/>
      <name val="Arial"/>
      <family val="2"/>
    </font>
    <font>
      <b/>
      <sz val="11"/>
      <color indexed="51"/>
      <name val="Arial"/>
      <family val="2"/>
    </font>
    <font>
      <sz val="9"/>
      <name val="Arial"/>
      <family val="2"/>
    </font>
    <font>
      <b/>
      <sz val="16"/>
      <name val="Arial"/>
      <family val="2"/>
    </font>
    <font>
      <b/>
      <sz val="11"/>
      <color indexed="12"/>
      <name val="Arial"/>
      <family val="2"/>
    </font>
    <font>
      <sz val="60"/>
      <name val="Arial"/>
      <family val="2"/>
    </font>
    <font>
      <sz val="72"/>
      <name val="Arial"/>
      <family val="2"/>
    </font>
    <font>
      <b/>
      <sz val="20"/>
      <name val="Arial"/>
      <family val="2"/>
    </font>
    <font>
      <sz val="12"/>
      <name val="Arial"/>
      <family val="2"/>
    </font>
    <font>
      <b/>
      <sz val="14"/>
      <name val="Arial"/>
      <family val="2"/>
    </font>
    <font>
      <b/>
      <sz val="14"/>
      <color indexed="10"/>
      <name val="Arial"/>
      <family val="2"/>
    </font>
    <font>
      <sz val="11"/>
      <color theme="0"/>
      <name val="Arial"/>
      <family val="2"/>
    </font>
    <font>
      <b/>
      <sz val="11"/>
      <color rgb="FFFF0000"/>
      <name val="Arial"/>
      <family val="2"/>
    </font>
  </fonts>
  <fills count="11">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8"/>
        <bgColor indexed="64"/>
      </patternFill>
    </fill>
    <fill>
      <patternFill patternType="solid">
        <fgColor indexed="12"/>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10"/>
        <bgColor indexed="64"/>
      </patternFill>
    </fill>
    <fill>
      <patternFill patternType="solid">
        <fgColor theme="4" tint="0.59999389629810485"/>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47">
    <xf numFmtId="0" fontId="0" fillId="0" borderId="0" xfId="0"/>
    <xf numFmtId="0" fontId="0" fillId="0" borderId="0" xfId="0" applyProtection="1"/>
    <xf numFmtId="0" fontId="0" fillId="0" borderId="0" xfId="0" applyAlignment="1" applyProtection="1">
      <alignment horizontal="center"/>
    </xf>
    <xf numFmtId="0" fontId="5" fillId="0" borderId="0" xfId="0" applyFont="1" applyProtection="1"/>
    <xf numFmtId="0" fontId="6" fillId="0" borderId="0" xfId="0" applyFont="1" applyAlignment="1" applyProtection="1"/>
    <xf numFmtId="0" fontId="7" fillId="0" borderId="0" xfId="0" applyFont="1" applyAlignment="1" applyProtection="1"/>
    <xf numFmtId="0" fontId="7" fillId="0" borderId="0" xfId="0" applyFont="1" applyAlignment="1" applyProtection="1">
      <alignment horizontal="left"/>
    </xf>
    <xf numFmtId="0" fontId="0" fillId="0" borderId="0" xfId="0" applyFill="1" applyProtection="1"/>
    <xf numFmtId="0" fontId="0" fillId="0" borderId="1" xfId="0" applyBorder="1" applyProtection="1"/>
    <xf numFmtId="0" fontId="0" fillId="0" borderId="2" xfId="0" applyBorder="1" applyProtection="1"/>
    <xf numFmtId="0" fontId="0" fillId="0" borderId="2" xfId="0" applyFill="1" applyBorder="1" applyProtection="1"/>
    <xf numFmtId="0" fontId="0" fillId="0" borderId="3" xfId="0" applyBorder="1" applyProtection="1"/>
    <xf numFmtId="0" fontId="7" fillId="0" borderId="4" xfId="0" applyFont="1" applyBorder="1" applyProtection="1"/>
    <xf numFmtId="0" fontId="9" fillId="0" borderId="0" xfId="0" applyFont="1" applyBorder="1" applyProtection="1"/>
    <xf numFmtId="0" fontId="10" fillId="0" borderId="0" xfId="0" applyFont="1" applyFill="1" applyBorder="1" applyAlignment="1" applyProtection="1">
      <alignment horizontal="center"/>
    </xf>
    <xf numFmtId="0" fontId="8" fillId="0" borderId="0" xfId="0" applyFont="1" applyBorder="1" applyAlignment="1" applyProtection="1"/>
    <xf numFmtId="0" fontId="8" fillId="0" borderId="0" xfId="0" applyFont="1" applyBorder="1" applyAlignment="1" applyProtection="1">
      <alignment horizontal="center"/>
    </xf>
    <xf numFmtId="0" fontId="11" fillId="0" borderId="5" xfId="0" applyFont="1" applyFill="1" applyBorder="1" applyProtection="1"/>
    <xf numFmtId="0" fontId="9" fillId="0" borderId="0" xfId="0" applyFont="1" applyProtection="1"/>
    <xf numFmtId="0" fontId="12" fillId="0" borderId="4" xfId="0" applyFont="1" applyBorder="1" applyProtection="1"/>
    <xf numFmtId="0" fontId="12" fillId="0" borderId="0" xfId="0" applyFont="1" applyBorder="1" applyProtection="1"/>
    <xf numFmtId="0" fontId="12" fillId="0" borderId="0" xfId="0" applyFont="1" applyFill="1" applyBorder="1" applyProtection="1"/>
    <xf numFmtId="0" fontId="12" fillId="0" borderId="5" xfId="0" applyFont="1" applyBorder="1" applyProtection="1"/>
    <xf numFmtId="0" fontId="12" fillId="0" borderId="0" xfId="0" applyFont="1" applyProtection="1"/>
    <xf numFmtId="8" fontId="12" fillId="0" borderId="0" xfId="0" applyNumberFormat="1" applyFont="1" applyBorder="1" applyAlignment="1" applyProtection="1">
      <alignment horizontal="center"/>
    </xf>
    <xf numFmtId="0" fontId="12" fillId="0" borderId="0" xfId="0" applyFont="1" applyBorder="1" applyAlignment="1" applyProtection="1">
      <alignment horizontal="center"/>
    </xf>
    <xf numFmtId="8" fontId="14" fillId="2" borderId="6" xfId="0" applyNumberFormat="1" applyFont="1" applyFill="1" applyBorder="1" applyAlignment="1" applyProtection="1">
      <alignment horizontal="center"/>
      <protection locked="0"/>
    </xf>
    <xf numFmtId="0" fontId="12" fillId="2" borderId="7" xfId="0" applyFont="1" applyFill="1" applyBorder="1" applyAlignment="1" applyProtection="1">
      <alignment horizontal="center"/>
      <protection locked="0"/>
    </xf>
    <xf numFmtId="0" fontId="12" fillId="0" borderId="0" xfId="0" applyFont="1" applyAlignment="1" applyProtection="1"/>
    <xf numFmtId="8" fontId="12" fillId="0" borderId="0" xfId="0" applyNumberFormat="1" applyFont="1" applyFill="1" applyBorder="1" applyAlignment="1" applyProtection="1">
      <alignment horizontal="center"/>
    </xf>
    <xf numFmtId="0" fontId="13" fillId="3" borderId="4" xfId="0" applyFont="1" applyFill="1" applyBorder="1" applyProtection="1"/>
    <xf numFmtId="0" fontId="12" fillId="3" borderId="0" xfId="0" applyFont="1" applyFill="1" applyBorder="1" applyProtection="1"/>
    <xf numFmtId="8" fontId="12" fillId="3" borderId="0" xfId="0" applyNumberFormat="1" applyFont="1" applyFill="1" applyBorder="1" applyAlignment="1" applyProtection="1">
      <alignment horizontal="center"/>
    </xf>
    <xf numFmtId="0" fontId="12" fillId="3" borderId="0" xfId="0" applyFont="1" applyFill="1" applyBorder="1" applyAlignment="1" applyProtection="1">
      <alignment horizontal="center"/>
    </xf>
    <xf numFmtId="0" fontId="12" fillId="3" borderId="5" xfId="0" applyFont="1" applyFill="1" applyBorder="1" applyProtection="1"/>
    <xf numFmtId="0" fontId="12" fillId="0" borderId="0" xfId="0" applyFont="1" applyBorder="1" applyAlignment="1" applyProtection="1">
      <alignment horizontal="center" wrapText="1"/>
    </xf>
    <xf numFmtId="0" fontId="9" fillId="0" borderId="0" xfId="0" applyFont="1" applyBorder="1" applyAlignment="1" applyProtection="1">
      <alignment horizontal="left" indent="1"/>
    </xf>
    <xf numFmtId="0" fontId="8" fillId="0" borderId="4" xfId="0" applyFont="1" applyBorder="1" applyProtection="1"/>
    <xf numFmtId="8" fontId="8" fillId="0" borderId="0" xfId="1" applyNumberFormat="1" applyFont="1" applyBorder="1" applyAlignment="1" applyProtection="1">
      <alignment horizontal="center"/>
    </xf>
    <xf numFmtId="8" fontId="9" fillId="0" borderId="0" xfId="0" applyNumberFormat="1" applyFont="1" applyBorder="1" applyAlignment="1" applyProtection="1">
      <alignment horizontal="center"/>
    </xf>
    <xf numFmtId="8" fontId="8" fillId="0" borderId="0" xfId="1" applyNumberFormat="1" applyFont="1" applyFill="1" applyBorder="1" applyAlignment="1" applyProtection="1">
      <alignment horizontal="center"/>
    </xf>
    <xf numFmtId="0" fontId="9" fillId="0" borderId="5" xfId="0" applyFont="1" applyBorder="1" applyProtection="1"/>
    <xf numFmtId="0" fontId="12" fillId="0" borderId="8" xfId="0" applyFont="1" applyBorder="1" applyProtection="1"/>
    <xf numFmtId="0" fontId="12" fillId="0" borderId="9" xfId="0" applyFont="1" applyBorder="1" applyProtection="1"/>
    <xf numFmtId="8" fontId="12" fillId="0" borderId="9" xfId="0" applyNumberFormat="1" applyFont="1" applyBorder="1" applyAlignment="1" applyProtection="1">
      <alignment horizontal="center"/>
    </xf>
    <xf numFmtId="0" fontId="12" fillId="0" borderId="10" xfId="0" applyFont="1" applyBorder="1" applyProtection="1"/>
    <xf numFmtId="0" fontId="8" fillId="0" borderId="0" xfId="0" applyFont="1" applyBorder="1" applyProtection="1"/>
    <xf numFmtId="0" fontId="8" fillId="0" borderId="0" xfId="0" applyFont="1" applyProtection="1"/>
    <xf numFmtId="0" fontId="8" fillId="0" borderId="5" xfId="0" applyFont="1" applyBorder="1" applyProtection="1"/>
    <xf numFmtId="0" fontId="13" fillId="0" borderId="4" xfId="0" applyFont="1" applyBorder="1" applyProtection="1"/>
    <xf numFmtId="0" fontId="13" fillId="0" borderId="0" xfId="0" applyFont="1" applyProtection="1"/>
    <xf numFmtId="6" fontId="8" fillId="0" borderId="0" xfId="1" applyNumberFormat="1" applyFont="1" applyFill="1" applyBorder="1" applyAlignment="1" applyProtection="1">
      <alignment horizontal="center"/>
    </xf>
    <xf numFmtId="0" fontId="13" fillId="0" borderId="5" xfId="0" applyFont="1" applyBorder="1" applyProtection="1"/>
    <xf numFmtId="5" fontId="9" fillId="0" borderId="0" xfId="0" applyNumberFormat="1" applyFont="1" applyFill="1" applyBorder="1" applyAlignment="1" applyProtection="1">
      <alignment horizontal="center"/>
    </xf>
    <xf numFmtId="6" fontId="9" fillId="0" borderId="0" xfId="1" applyNumberFormat="1" applyFont="1" applyFill="1" applyBorder="1" applyAlignment="1" applyProtection="1">
      <alignment horizontal="center"/>
    </xf>
    <xf numFmtId="6" fontId="12" fillId="0" borderId="0" xfId="1" applyNumberFormat="1" applyFont="1" applyFill="1" applyBorder="1" applyAlignment="1" applyProtection="1">
      <alignment horizontal="center"/>
    </xf>
    <xf numFmtId="0" fontId="12" fillId="0" borderId="11" xfId="0" applyFont="1" applyBorder="1" applyProtection="1"/>
    <xf numFmtId="0" fontId="12" fillId="0" borderId="12" xfId="0" applyFont="1" applyBorder="1" applyProtection="1"/>
    <xf numFmtId="8" fontId="12" fillId="0" borderId="12" xfId="0" applyNumberFormat="1" applyFont="1" applyBorder="1" applyAlignment="1" applyProtection="1">
      <alignment horizontal="center"/>
    </xf>
    <xf numFmtId="0" fontId="12" fillId="0" borderId="13" xfId="0" applyFont="1" applyBorder="1" applyProtection="1"/>
    <xf numFmtId="0" fontId="12" fillId="4" borderId="0" xfId="0" applyFont="1" applyFill="1" applyProtection="1"/>
    <xf numFmtId="8" fontId="12" fillId="4" borderId="0" xfId="0" applyNumberFormat="1" applyFont="1" applyFill="1" applyAlignment="1" applyProtection="1">
      <alignment horizontal="center"/>
    </xf>
    <xf numFmtId="0" fontId="16" fillId="5" borderId="1" xfId="0" applyFont="1" applyFill="1" applyBorder="1" applyProtection="1"/>
    <xf numFmtId="0" fontId="16" fillId="5" borderId="2" xfId="0" applyFont="1" applyFill="1" applyBorder="1" applyProtection="1"/>
    <xf numFmtId="0" fontId="16" fillId="5" borderId="0" xfId="0" applyFont="1" applyFill="1" applyBorder="1" applyProtection="1"/>
    <xf numFmtId="0" fontId="8" fillId="5" borderId="0" xfId="0" applyFont="1" applyFill="1" applyProtection="1"/>
    <xf numFmtId="6" fontId="17" fillId="5" borderId="2" xfId="0" applyNumberFormat="1" applyFont="1" applyFill="1" applyBorder="1" applyAlignment="1" applyProtection="1">
      <alignment horizontal="center"/>
    </xf>
    <xf numFmtId="0" fontId="10" fillId="5" borderId="3" xfId="0" applyFont="1" applyFill="1" applyBorder="1" applyProtection="1"/>
    <xf numFmtId="0" fontId="18" fillId="5" borderId="11" xfId="0" applyFont="1" applyFill="1" applyBorder="1" applyProtection="1"/>
    <xf numFmtId="0" fontId="19" fillId="5" borderId="12" xfId="0" applyFont="1" applyFill="1" applyBorder="1" applyProtection="1"/>
    <xf numFmtId="0" fontId="18" fillId="5" borderId="12" xfId="0" applyFont="1" applyFill="1" applyBorder="1" applyProtection="1"/>
    <xf numFmtId="0" fontId="18" fillId="5" borderId="13" xfId="0" applyFont="1" applyFill="1" applyBorder="1" applyProtection="1"/>
    <xf numFmtId="8" fontId="12" fillId="0" borderId="0" xfId="0" applyNumberFormat="1" applyFont="1" applyBorder="1" applyProtection="1"/>
    <xf numFmtId="0" fontId="20" fillId="0" borderId="0" xfId="0" applyFont="1" applyProtection="1"/>
    <xf numFmtId="0" fontId="5" fillId="0" borderId="0" xfId="0" applyNumberFormat="1" applyFont="1" applyProtection="1"/>
    <xf numFmtId="0" fontId="20" fillId="0" borderId="0" xfId="0" applyFont="1" applyFill="1" applyProtection="1"/>
    <xf numFmtId="0" fontId="20" fillId="0" borderId="0" xfId="0" applyFont="1" applyAlignment="1" applyProtection="1">
      <alignment horizontal="center"/>
    </xf>
    <xf numFmtId="0" fontId="14" fillId="0" borderId="0" xfId="0" applyFont="1" applyAlignment="1"/>
    <xf numFmtId="0" fontId="14" fillId="0" borderId="0" xfId="0" applyFont="1" applyAlignment="1">
      <alignment horizontal="center"/>
    </xf>
    <xf numFmtId="0" fontId="8" fillId="0" borderId="0" xfId="0" applyFont="1" applyAlignment="1">
      <alignment horizontal="center"/>
    </xf>
    <xf numFmtId="0" fontId="0" fillId="0" borderId="0" xfId="0" applyFill="1"/>
    <xf numFmtId="0" fontId="0" fillId="0" borderId="0" xfId="0" applyAlignment="1">
      <alignment horizontal="center"/>
    </xf>
    <xf numFmtId="0" fontId="0" fillId="6" borderId="0" xfId="0" applyFill="1"/>
    <xf numFmtId="0" fontId="9" fillId="7" borderId="0" xfId="0" applyFont="1" applyFill="1"/>
    <xf numFmtId="0" fontId="9" fillId="3" borderId="0" xfId="0" applyFont="1" applyFill="1" applyAlignment="1">
      <alignment horizontal="center"/>
    </xf>
    <xf numFmtId="0" fontId="9" fillId="6" borderId="0" xfId="0" applyFont="1" applyFill="1"/>
    <xf numFmtId="0" fontId="12" fillId="7" borderId="0" xfId="0" applyFont="1" applyFill="1"/>
    <xf numFmtId="0" fontId="12" fillId="0" borderId="0" xfId="0" applyFont="1" applyAlignment="1">
      <alignment horizontal="center"/>
    </xf>
    <xf numFmtId="0" fontId="12" fillId="6" borderId="0" xfId="0" applyFont="1" applyFill="1"/>
    <xf numFmtId="0" fontId="12" fillId="7" borderId="0" xfId="0" applyFont="1" applyFill="1" applyAlignment="1">
      <alignment horizontal="right"/>
    </xf>
    <xf numFmtId="0" fontId="22" fillId="0" borderId="0" xfId="0" applyFont="1" applyAlignment="1">
      <alignment horizontal="center"/>
    </xf>
    <xf numFmtId="0" fontId="15" fillId="0" borderId="0" xfId="0" applyFont="1" applyAlignment="1">
      <alignment horizontal="center"/>
    </xf>
    <xf numFmtId="0" fontId="22" fillId="0" borderId="0" xfId="0" applyFont="1" applyFill="1" applyAlignment="1">
      <alignment horizontal="center"/>
    </xf>
    <xf numFmtId="0" fontId="15" fillId="0" borderId="0" xfId="0" applyFont="1" applyFill="1" applyAlignment="1">
      <alignment horizontal="center"/>
    </xf>
    <xf numFmtId="0" fontId="12" fillId="7" borderId="0" xfId="0" applyFont="1" applyFill="1" applyBorder="1" applyAlignment="1">
      <alignment horizontal="right"/>
    </xf>
    <xf numFmtId="0" fontId="13" fillId="0" borderId="0" xfId="0" applyFont="1" applyAlignment="1">
      <alignment horizontal="center"/>
    </xf>
    <xf numFmtId="8" fontId="12" fillId="0" borderId="0" xfId="1" applyNumberFormat="1" applyFont="1" applyBorder="1" applyAlignment="1">
      <alignment horizontal="center"/>
    </xf>
    <xf numFmtId="0" fontId="12" fillId="0" borderId="0" xfId="0" applyFont="1"/>
    <xf numFmtId="6" fontId="9" fillId="8" borderId="0" xfId="0" applyNumberFormat="1" applyFont="1" applyFill="1" applyAlignment="1">
      <alignment horizontal="center"/>
    </xf>
    <xf numFmtId="6" fontId="9" fillId="0" borderId="0" xfId="0" applyNumberFormat="1" applyFont="1" applyFill="1" applyAlignment="1">
      <alignment horizontal="center"/>
    </xf>
    <xf numFmtId="0" fontId="13" fillId="0" borderId="0" xfId="0" applyFont="1" applyAlignment="1">
      <alignment horizontal="left"/>
    </xf>
    <xf numFmtId="0" fontId="9" fillId="0" borderId="0" xfId="0" applyFont="1" applyAlignment="1">
      <alignment horizontal="center"/>
    </xf>
    <xf numFmtId="0" fontId="9" fillId="0" borderId="0" xfId="0" applyFont="1"/>
    <xf numFmtId="0" fontId="8" fillId="7" borderId="0" xfId="0" applyFont="1" applyFill="1"/>
    <xf numFmtId="0" fontId="8" fillId="6" borderId="0" xfId="0" applyFont="1" applyFill="1"/>
    <xf numFmtId="0" fontId="8" fillId="0" borderId="0" xfId="0" applyFont="1"/>
    <xf numFmtId="0" fontId="13" fillId="7" borderId="0" xfId="0" applyFont="1" applyFill="1"/>
    <xf numFmtId="0" fontId="13" fillId="8" borderId="0" xfId="0" applyFont="1" applyFill="1" applyAlignment="1">
      <alignment horizontal="center"/>
    </xf>
    <xf numFmtId="0" fontId="13" fillId="0" borderId="0" xfId="0" applyFont="1" applyFill="1" applyAlignment="1">
      <alignment horizontal="center"/>
    </xf>
    <xf numFmtId="0" fontId="13" fillId="6" borderId="0" xfId="0" applyFont="1" applyFill="1"/>
    <xf numFmtId="0" fontId="13" fillId="0" borderId="0" xfId="0" applyFont="1" applyFill="1" applyBorder="1" applyAlignment="1">
      <alignment horizontal="center"/>
    </xf>
    <xf numFmtId="0" fontId="13" fillId="0" borderId="0" xfId="0" applyFont="1"/>
    <xf numFmtId="0" fontId="22" fillId="0" borderId="0" xfId="0" applyFont="1" applyAlignment="1">
      <alignment horizontal="left"/>
    </xf>
    <xf numFmtId="0" fontId="15" fillId="0" borderId="0" xfId="0" applyFont="1" applyAlignment="1">
      <alignment horizontal="left"/>
    </xf>
    <xf numFmtId="0" fontId="22" fillId="0" borderId="0" xfId="0" applyFont="1" applyFill="1"/>
    <xf numFmtId="0" fontId="15" fillId="0" borderId="0" xfId="0" applyFont="1"/>
    <xf numFmtId="0" fontId="8" fillId="0" borderId="0" xfId="0" applyFont="1" applyAlignment="1">
      <alignment horizontal="right"/>
    </xf>
    <xf numFmtId="0" fontId="12" fillId="0" borderId="0" xfId="0" applyFont="1" applyAlignment="1">
      <alignment horizontal="right"/>
    </xf>
    <xf numFmtId="0" fontId="13" fillId="0" borderId="0" xfId="0" applyFont="1" applyAlignment="1">
      <alignment horizontal="right"/>
    </xf>
    <xf numFmtId="0" fontId="22" fillId="8" borderId="0" xfId="0" applyFont="1" applyFill="1" applyAlignment="1">
      <alignment horizontal="center"/>
    </xf>
    <xf numFmtId="0" fontId="15" fillId="8" borderId="0" xfId="0" applyFont="1" applyFill="1" applyAlignment="1">
      <alignment horizontal="center"/>
    </xf>
    <xf numFmtId="0" fontId="24" fillId="0" borderId="0" xfId="0" applyFont="1" applyFill="1" applyAlignment="1">
      <alignment horizontal="center" vertical="center" textRotation="90"/>
    </xf>
    <xf numFmtId="0" fontId="24" fillId="0" borderId="0" xfId="0" applyFont="1" applyFill="1" applyAlignment="1">
      <alignment vertical="center" textRotation="90"/>
    </xf>
    <xf numFmtId="0" fontId="0" fillId="0" borderId="0" xfId="0" applyAlignment="1">
      <alignment horizontal="right"/>
    </xf>
    <xf numFmtId="0" fontId="8" fillId="6" borderId="4" xfId="0" applyFont="1" applyFill="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6" borderId="0" xfId="0" applyFill="1" applyBorder="1" applyAlignment="1">
      <alignment horizontal="center"/>
    </xf>
    <xf numFmtId="0" fontId="0" fillId="0" borderId="5" xfId="0" applyBorder="1"/>
    <xf numFmtId="0" fontId="14" fillId="0" borderId="4" xfId="0" applyFont="1" applyBorder="1" applyAlignment="1">
      <alignment horizontal="center"/>
    </xf>
    <xf numFmtId="0" fontId="14" fillId="0" borderId="5" xfId="0" applyFont="1" applyBorder="1" applyAlignment="1">
      <alignment horizontal="center"/>
    </xf>
    <xf numFmtId="5" fontId="0" fillId="0" borderId="4" xfId="0" applyNumberFormat="1" applyBorder="1" applyAlignment="1">
      <alignment horizontal="center"/>
    </xf>
    <xf numFmtId="5" fontId="0" fillId="0" borderId="5" xfId="0" applyNumberFormat="1" applyBorder="1" applyAlignment="1">
      <alignment horizontal="center"/>
    </xf>
    <xf numFmtId="5" fontId="0" fillId="6" borderId="4" xfId="0" applyNumberFormat="1" applyFill="1" applyBorder="1" applyAlignment="1">
      <alignment horizontal="center"/>
    </xf>
    <xf numFmtId="5" fontId="0" fillId="0" borderId="14" xfId="0" applyNumberFormat="1" applyBorder="1" applyAlignment="1">
      <alignment horizontal="center"/>
    </xf>
    <xf numFmtId="5" fontId="0" fillId="6" borderId="0" xfId="0" applyNumberFormat="1" applyFill="1" applyBorder="1" applyAlignment="1">
      <alignment horizontal="center"/>
    </xf>
    <xf numFmtId="0" fontId="0" fillId="6" borderId="4" xfId="0" applyFill="1" applyBorder="1" applyAlignment="1">
      <alignment horizontal="center"/>
    </xf>
    <xf numFmtId="0" fontId="0" fillId="0" borderId="14" xfId="0" applyBorder="1" applyAlignment="1">
      <alignment horizontal="center"/>
    </xf>
    <xf numFmtId="37" fontId="0" fillId="6" borderId="0" xfId="0" applyNumberFormat="1" applyFill="1" applyBorder="1" applyAlignment="1">
      <alignment horizontal="center"/>
    </xf>
    <xf numFmtId="5" fontId="0" fillId="9" borderId="4" xfId="0" applyNumberFormat="1" applyFill="1" applyBorder="1" applyAlignment="1">
      <alignment horizontal="center"/>
    </xf>
    <xf numFmtId="5" fontId="0" fillId="9" borderId="5" xfId="0" applyNumberFormat="1" applyFill="1" applyBorder="1" applyAlignment="1">
      <alignment horizontal="center"/>
    </xf>
    <xf numFmtId="5" fontId="0" fillId="9" borderId="0" xfId="0" applyNumberFormat="1" applyFill="1" applyBorder="1" applyAlignment="1">
      <alignment horizontal="center"/>
    </xf>
    <xf numFmtId="5" fontId="0" fillId="9" borderId="14" xfId="0" applyNumberFormat="1" applyFill="1" applyBorder="1" applyAlignment="1">
      <alignment horizontal="center"/>
    </xf>
    <xf numFmtId="0" fontId="0" fillId="9" borderId="0" xfId="0" applyFill="1"/>
    <xf numFmtId="9" fontId="0" fillId="0" borderId="4" xfId="0" applyNumberFormat="1" applyBorder="1" applyAlignment="1">
      <alignment horizontal="center"/>
    </xf>
    <xf numFmtId="9" fontId="0" fillId="0" borderId="5" xfId="0" applyNumberFormat="1" applyBorder="1" applyAlignment="1">
      <alignment horizontal="center"/>
    </xf>
    <xf numFmtId="9" fontId="0" fillId="6" borderId="4" xfId="0" applyNumberFormat="1" applyFill="1" applyBorder="1" applyAlignment="1">
      <alignment horizontal="center"/>
    </xf>
    <xf numFmtId="9" fontId="0" fillId="0" borderId="14" xfId="0" applyNumberFormat="1" applyBorder="1" applyAlignment="1">
      <alignment horizontal="center"/>
    </xf>
    <xf numFmtId="9" fontId="0" fillId="6" borderId="0" xfId="0" applyNumberFormat="1" applyFill="1" applyBorder="1" applyAlignment="1">
      <alignment horizontal="center"/>
    </xf>
    <xf numFmtId="9" fontId="0" fillId="9" borderId="4" xfId="0" applyNumberFormat="1" applyFill="1" applyBorder="1" applyAlignment="1">
      <alignment horizontal="center"/>
    </xf>
    <xf numFmtId="9" fontId="0" fillId="9" borderId="5" xfId="0" applyNumberFormat="1" applyFill="1" applyBorder="1" applyAlignment="1">
      <alignment horizontal="center"/>
    </xf>
    <xf numFmtId="9" fontId="0" fillId="9" borderId="0" xfId="0" applyNumberFormat="1" applyFill="1" applyBorder="1" applyAlignment="1">
      <alignment horizontal="center"/>
    </xf>
    <xf numFmtId="9" fontId="0" fillId="9" borderId="14" xfId="0" applyNumberFormat="1" applyFill="1" applyBorder="1" applyAlignment="1">
      <alignment horizontal="center"/>
    </xf>
    <xf numFmtId="0" fontId="0" fillId="9" borderId="4" xfId="0" applyFill="1" applyBorder="1" applyAlignment="1">
      <alignment horizontal="center"/>
    </xf>
    <xf numFmtId="0" fontId="0" fillId="9" borderId="5" xfId="0" applyFill="1" applyBorder="1" applyAlignment="1">
      <alignment horizontal="center"/>
    </xf>
    <xf numFmtId="0" fontId="0" fillId="9" borderId="0" xfId="0" applyFill="1" applyBorder="1" applyAlignment="1">
      <alignment horizontal="center"/>
    </xf>
    <xf numFmtId="0" fontId="0" fillId="9" borderId="14" xfId="0" applyFill="1" applyBorder="1" applyAlignment="1">
      <alignment horizontal="center"/>
    </xf>
    <xf numFmtId="39" fontId="0" fillId="6" borderId="4" xfId="0" applyNumberFormat="1" applyFill="1" applyBorder="1" applyAlignment="1">
      <alignment horizontal="center"/>
    </xf>
    <xf numFmtId="39" fontId="0" fillId="6" borderId="11" xfId="0" applyNumberFormat="1" applyFill="1" applyBorder="1" applyAlignment="1">
      <alignment horizontal="center"/>
    </xf>
    <xf numFmtId="5" fontId="0" fillId="0" borderId="11" xfId="0" applyNumberFormat="1" applyBorder="1" applyAlignment="1">
      <alignment horizontal="center"/>
    </xf>
    <xf numFmtId="5" fontId="0" fillId="0" borderId="15" xfId="0" applyNumberFormat="1" applyBorder="1" applyAlignment="1">
      <alignment horizontal="center"/>
    </xf>
    <xf numFmtId="0" fontId="0" fillId="9" borderId="0" xfId="0" applyFill="1" applyAlignment="1">
      <alignment horizontal="center"/>
    </xf>
    <xf numFmtId="0" fontId="0" fillId="0" borderId="0" xfId="0" applyAlignment="1">
      <alignment horizontal="left"/>
    </xf>
    <xf numFmtId="0" fontId="0" fillId="6" borderId="0" xfId="0" applyFill="1" applyAlignment="1">
      <alignment horizontal="center"/>
    </xf>
    <xf numFmtId="0" fontId="26" fillId="0" borderId="0" xfId="0" applyFont="1" applyAlignment="1">
      <alignment horizontal="right"/>
    </xf>
    <xf numFmtId="7" fontId="0" fillId="0" borderId="0" xfId="0" applyNumberFormat="1" applyAlignment="1">
      <alignment horizontal="center"/>
    </xf>
    <xf numFmtId="5" fontId="0" fillId="0" borderId="0" xfId="0" applyNumberFormat="1" applyAlignment="1">
      <alignment horizontal="center"/>
    </xf>
    <xf numFmtId="0" fontId="0" fillId="7" borderId="0" xfId="0" applyFill="1"/>
    <xf numFmtId="0" fontId="9" fillId="0" borderId="0" xfId="0" applyFont="1" applyAlignment="1">
      <alignment horizontal="center" wrapText="1"/>
    </xf>
    <xf numFmtId="0" fontId="12" fillId="0" borderId="0" xfId="0" applyFont="1" applyFill="1" applyAlignment="1">
      <alignment horizontal="center"/>
    </xf>
    <xf numFmtId="0" fontId="12" fillId="0" borderId="0" xfId="0" applyFont="1" applyBorder="1"/>
    <xf numFmtId="1" fontId="12" fillId="0" borderId="0" xfId="0" applyNumberFormat="1" applyFont="1" applyAlignment="1">
      <alignment horizontal="center"/>
    </xf>
    <xf numFmtId="0" fontId="20" fillId="0" borderId="0" xfId="0" applyFont="1" applyAlignment="1">
      <alignment horizontal="center"/>
    </xf>
    <xf numFmtId="0" fontId="20" fillId="0" borderId="0" xfId="0" applyFont="1"/>
    <xf numFmtId="1" fontId="0" fillId="8" borderId="16" xfId="0" applyNumberFormat="1" applyFill="1" applyBorder="1" applyAlignment="1">
      <alignment horizontal="center"/>
    </xf>
    <xf numFmtId="0" fontId="0" fillId="7" borderId="0" xfId="0" applyFill="1" applyBorder="1"/>
    <xf numFmtId="0" fontId="0" fillId="7" borderId="0" xfId="0" applyFill="1" applyBorder="1" applyAlignment="1">
      <alignment horizontal="right"/>
    </xf>
    <xf numFmtId="2" fontId="22" fillId="0" borderId="0" xfId="0" applyNumberFormat="1" applyFont="1" applyFill="1" applyAlignment="1">
      <alignment horizontal="center"/>
    </xf>
    <xf numFmtId="2" fontId="15" fillId="0" borderId="0" xfId="0" applyNumberFormat="1" applyFont="1" applyFill="1" applyAlignment="1">
      <alignment horizontal="center"/>
    </xf>
    <xf numFmtId="0" fontId="12" fillId="0" borderId="2" xfId="0" applyFont="1" applyBorder="1" applyProtection="1"/>
    <xf numFmtId="0" fontId="5" fillId="2" borderId="7" xfId="0" applyFont="1" applyFill="1" applyBorder="1" applyAlignment="1" applyProtection="1">
      <alignment horizontal="center"/>
      <protection locked="0"/>
    </xf>
    <xf numFmtId="0" fontId="1" fillId="0" borderId="0" xfId="0" applyFont="1"/>
    <xf numFmtId="0" fontId="29" fillId="0" borderId="0" xfId="0" applyFont="1" applyAlignment="1" applyProtection="1">
      <alignment horizontal="center"/>
    </xf>
    <xf numFmtId="8" fontId="14" fillId="2" borderId="6" xfId="0" applyNumberFormat="1" applyFont="1" applyFill="1" applyBorder="1" applyAlignment="1" applyProtection="1">
      <alignment horizontal="center"/>
    </xf>
    <xf numFmtId="8" fontId="15" fillId="0" borderId="0" xfId="0" applyNumberFormat="1" applyFont="1" applyBorder="1" applyAlignment="1" applyProtection="1">
      <alignment horizontal="left"/>
    </xf>
    <xf numFmtId="8" fontId="15" fillId="0" borderId="4" xfId="0" applyNumberFormat="1" applyFont="1" applyBorder="1" applyAlignment="1" applyProtection="1"/>
    <xf numFmtId="8" fontId="15" fillId="0" borderId="5" xfId="0" applyNumberFormat="1" applyFont="1" applyBorder="1" applyAlignment="1" applyProtection="1"/>
    <xf numFmtId="0" fontId="1" fillId="0" borderId="0" xfId="0" applyFont="1" applyAlignment="1">
      <alignment horizontal="right"/>
    </xf>
    <xf numFmtId="0" fontId="1" fillId="0" borderId="0" xfId="0" applyFont="1" applyBorder="1" applyAlignment="1">
      <alignment horizontal="right"/>
    </xf>
    <xf numFmtId="0" fontId="1" fillId="0" borderId="0" xfId="0" applyFont="1" applyBorder="1" applyAlignment="1">
      <alignment horizontal="left"/>
    </xf>
    <xf numFmtId="0" fontId="1" fillId="10" borderId="0" xfId="0" applyFont="1" applyFill="1" applyAlignment="1">
      <alignment horizontal="right"/>
    </xf>
    <xf numFmtId="5" fontId="0" fillId="10" borderId="4" xfId="0" applyNumberFormat="1" applyFill="1" applyBorder="1" applyAlignment="1">
      <alignment horizontal="center"/>
    </xf>
    <xf numFmtId="5" fontId="0" fillId="10" borderId="5" xfId="0" applyNumberFormat="1" applyFill="1" applyBorder="1" applyAlignment="1">
      <alignment horizontal="center"/>
    </xf>
    <xf numFmtId="5" fontId="0" fillId="10" borderId="0" xfId="0" applyNumberFormat="1" applyFill="1" applyBorder="1" applyAlignment="1">
      <alignment horizontal="center"/>
    </xf>
    <xf numFmtId="5" fontId="0" fillId="10" borderId="14" xfId="0" applyNumberFormat="1" applyFill="1" applyBorder="1" applyAlignment="1">
      <alignment horizontal="center"/>
    </xf>
    <xf numFmtId="0" fontId="1" fillId="0" borderId="0" xfId="0" applyFont="1" applyAlignment="1">
      <alignment horizontal="center"/>
    </xf>
    <xf numFmtId="0" fontId="1" fillId="0" borderId="0" xfId="0" applyFont="1" applyFill="1" applyBorder="1" applyAlignment="1">
      <alignment horizontal="left"/>
    </xf>
    <xf numFmtId="0" fontId="1" fillId="0" borderId="0" xfId="0" applyFont="1" applyBorder="1" applyAlignment="1">
      <alignment horizontal="center"/>
    </xf>
    <xf numFmtId="165" fontId="1" fillId="0" borderId="0" xfId="0" applyNumberFormat="1" applyFont="1" applyBorder="1"/>
    <xf numFmtId="164" fontId="1" fillId="0" borderId="0" xfId="0" applyNumberFormat="1" applyFont="1" applyAlignment="1">
      <alignment horizontal="center"/>
    </xf>
    <xf numFmtId="5" fontId="1" fillId="0" borderId="0" xfId="0" applyNumberFormat="1" applyFont="1" applyAlignment="1">
      <alignment horizontal="center"/>
    </xf>
    <xf numFmtId="5" fontId="1" fillId="0" borderId="0" xfId="0" applyNumberFormat="1" applyFont="1" applyFill="1" applyBorder="1" applyAlignment="1">
      <alignment horizontal="center"/>
    </xf>
    <xf numFmtId="165" fontId="1" fillId="0" borderId="0" xfId="0" applyNumberFormat="1" applyFont="1" applyBorder="1" applyAlignment="1">
      <alignment horizontal="left"/>
    </xf>
    <xf numFmtId="165" fontId="1" fillId="0" borderId="0" xfId="0" applyNumberFormat="1" applyFont="1" applyBorder="1" applyAlignment="1">
      <alignment horizontal="center"/>
    </xf>
    <xf numFmtId="0" fontId="1" fillId="6" borderId="0" xfId="0" applyFont="1" applyFill="1" applyAlignment="1">
      <alignment horizontal="center"/>
    </xf>
    <xf numFmtId="0" fontId="8" fillId="0" borderId="0" xfId="0" applyFont="1" applyAlignment="1" applyProtection="1">
      <alignment horizontal="center"/>
    </xf>
    <xf numFmtId="6" fontId="5" fillId="0" borderId="0" xfId="1" applyNumberFormat="1" applyFont="1" applyFill="1" applyBorder="1" applyAlignment="1" applyProtection="1">
      <alignment horizontal="center"/>
    </xf>
    <xf numFmtId="0" fontId="12" fillId="0" borderId="0" xfId="0" applyFont="1" applyAlignment="1">
      <alignment horizontal="center"/>
    </xf>
    <xf numFmtId="0" fontId="5" fillId="0" borderId="0" xfId="0" applyFont="1" applyAlignment="1">
      <alignment horizontal="center"/>
    </xf>
    <xf numFmtId="5" fontId="22" fillId="8" borderId="0" xfId="0" applyNumberFormat="1" applyFont="1" applyFill="1" applyAlignment="1">
      <alignment horizontal="center"/>
    </xf>
    <xf numFmtId="0" fontId="12" fillId="2" borderId="6" xfId="0" applyFont="1" applyFill="1" applyBorder="1" applyAlignment="1" applyProtection="1">
      <alignment horizontal="center"/>
      <protection locked="0"/>
    </xf>
    <xf numFmtId="0" fontId="12" fillId="2" borderId="17" xfId="0" applyFont="1" applyFill="1" applyBorder="1" applyAlignment="1" applyProtection="1">
      <alignment horizontal="center"/>
      <protection locked="0"/>
    </xf>
    <xf numFmtId="0" fontId="0" fillId="0" borderId="0" xfId="0" applyAlignment="1" applyProtection="1">
      <alignment horizontal="center"/>
    </xf>
    <xf numFmtId="0" fontId="8" fillId="2" borderId="0" xfId="0" applyFont="1" applyFill="1" applyAlignment="1" applyProtection="1">
      <alignment horizontal="center" vertical="center"/>
      <protection locked="0"/>
    </xf>
    <xf numFmtId="0" fontId="12" fillId="0" borderId="0" xfId="0" applyFont="1" applyBorder="1" applyAlignment="1" applyProtection="1">
      <alignment horizontal="center"/>
    </xf>
    <xf numFmtId="0" fontId="27" fillId="0" borderId="0" xfId="0" applyNumberFormat="1" applyFont="1" applyAlignment="1" applyProtection="1">
      <alignment horizontal="center" vertical="top" wrapText="1"/>
    </xf>
    <xf numFmtId="0" fontId="27" fillId="0" borderId="0" xfId="0" applyNumberFormat="1" applyFont="1" applyAlignment="1" applyProtection="1">
      <alignment horizontal="center" vertical="top"/>
    </xf>
    <xf numFmtId="0" fontId="3" fillId="0" borderId="0" xfId="0" applyFont="1" applyAlignment="1" applyProtection="1">
      <alignment horizontal="center" vertical="top" textRotation="90"/>
    </xf>
    <xf numFmtId="0" fontId="4" fillId="3" borderId="0" xfId="0" applyFont="1" applyFill="1" applyAlignment="1" applyProtection="1">
      <alignment horizontal="left"/>
    </xf>
    <xf numFmtId="0" fontId="30" fillId="0" borderId="0" xfId="0" applyNumberFormat="1" applyFont="1" applyAlignment="1" applyProtection="1">
      <alignment wrapText="1"/>
    </xf>
    <xf numFmtId="0" fontId="5" fillId="0" borderId="0" xfId="0" applyFont="1" applyAlignment="1" applyProtection="1">
      <alignment vertical="top" wrapText="1"/>
    </xf>
    <xf numFmtId="0" fontId="13" fillId="3" borderId="4" xfId="0" applyFont="1" applyFill="1" applyBorder="1" applyAlignment="1" applyProtection="1">
      <alignment horizontal="left" wrapText="1"/>
    </xf>
    <xf numFmtId="0" fontId="13" fillId="3" borderId="0" xfId="0" applyFont="1" applyFill="1" applyBorder="1" applyAlignment="1" applyProtection="1">
      <alignment horizontal="left" wrapText="1"/>
    </xf>
    <xf numFmtId="0" fontId="13" fillId="3" borderId="5" xfId="0" applyFont="1" applyFill="1" applyBorder="1" applyAlignment="1" applyProtection="1">
      <alignment horizontal="left" wrapText="1"/>
    </xf>
    <xf numFmtId="8" fontId="14" fillId="0" borderId="0" xfId="0" applyNumberFormat="1" applyFont="1" applyFill="1" applyBorder="1" applyAlignment="1" applyProtection="1">
      <alignment horizontal="center" wrapText="1"/>
    </xf>
    <xf numFmtId="8" fontId="14" fillId="0" borderId="5" xfId="0" applyNumberFormat="1" applyFont="1" applyFill="1" applyBorder="1" applyAlignment="1" applyProtection="1">
      <alignment horizontal="center" wrapText="1"/>
    </xf>
    <xf numFmtId="0" fontId="15" fillId="0" borderId="4" xfId="0" applyFont="1" applyBorder="1" applyAlignment="1" applyProtection="1">
      <alignment horizontal="left" indent="1"/>
    </xf>
    <xf numFmtId="0" fontId="15" fillId="0" borderId="0" xfId="0" applyFont="1" applyBorder="1" applyAlignment="1" applyProtection="1">
      <alignment horizontal="left" indent="1"/>
    </xf>
    <xf numFmtId="0" fontId="15" fillId="0" borderId="5" xfId="0" applyFont="1" applyBorder="1" applyAlignment="1" applyProtection="1">
      <alignment horizontal="left" indent="1"/>
    </xf>
    <xf numFmtId="0" fontId="12" fillId="0" borderId="12" xfId="0" applyFont="1" applyBorder="1" applyAlignment="1" applyProtection="1">
      <alignment horizontal="center"/>
    </xf>
    <xf numFmtId="0" fontId="5" fillId="2" borderId="6" xfId="0" applyFont="1" applyFill="1" applyBorder="1" applyAlignment="1" applyProtection="1">
      <alignment horizontal="center"/>
      <protection locked="0"/>
    </xf>
    <xf numFmtId="0" fontId="23" fillId="3" borderId="0" xfId="0" applyFont="1" applyFill="1" applyAlignment="1">
      <alignment horizontal="center" vertical="center" textRotation="90"/>
    </xf>
    <xf numFmtId="0" fontId="12" fillId="0" borderId="0" xfId="0" applyFont="1" applyAlignment="1">
      <alignment horizontal="center"/>
    </xf>
    <xf numFmtId="0" fontId="8" fillId="0" borderId="0" xfId="0" applyFont="1" applyAlignment="1">
      <alignment horizontal="center"/>
    </xf>
    <xf numFmtId="0" fontId="8" fillId="0" borderId="0" xfId="0" applyFont="1" applyAlignment="1">
      <alignment horizontal="center" wrapText="1"/>
    </xf>
    <xf numFmtId="0" fontId="8" fillId="3" borderId="0" xfId="0" applyFont="1" applyFill="1" applyAlignment="1">
      <alignment horizontal="center"/>
    </xf>
    <xf numFmtId="0" fontId="14" fillId="0" borderId="0" xfId="0" applyFont="1" applyAlignment="1">
      <alignment horizontal="center"/>
    </xf>
    <xf numFmtId="9" fontId="21" fillId="3" borderId="0" xfId="2" applyFont="1" applyFill="1" applyAlignment="1">
      <alignment horizontal="center"/>
    </xf>
    <xf numFmtId="0" fontId="21" fillId="0" borderId="0" xfId="0" applyFont="1" applyAlignment="1">
      <alignment horizontal="left"/>
    </xf>
    <xf numFmtId="0" fontId="0" fillId="2" borderId="1"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8" fillId="6" borderId="4" xfId="0" applyFont="1" applyFill="1" applyBorder="1" applyAlignment="1">
      <alignment horizontal="center"/>
    </xf>
    <xf numFmtId="0" fontId="0" fillId="6" borderId="0" xfId="0" applyFill="1" applyAlignment="1">
      <alignment horizontal="center"/>
    </xf>
    <xf numFmtId="0" fontId="25" fillId="6" borderId="0" xfId="0" applyFont="1" applyFill="1" applyAlignment="1">
      <alignment horizontal="center"/>
    </xf>
    <xf numFmtId="0" fontId="1" fillId="2" borderId="4" xfId="0" applyFont="1" applyFill="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244929</xdr:colOff>
      <xdr:row>0</xdr:row>
      <xdr:rowOff>0</xdr:rowOff>
    </xdr:from>
    <xdr:to>
      <xdr:col>12</xdr:col>
      <xdr:colOff>4201</xdr:colOff>
      <xdr:row>2</xdr:row>
      <xdr:rowOff>295448</xdr:rowOff>
    </xdr:to>
    <xdr:pic>
      <xdr:nvPicPr>
        <xdr:cNvPr id="3" name="Picture 2">
          <a:extLst>
            <a:ext uri="{FF2B5EF4-FFF2-40B4-BE49-F238E27FC236}">
              <a16:creationId xmlns:a16="http://schemas.microsoft.com/office/drawing/2014/main" id="{98342CD2-8D44-434A-9963-D4313FFA7A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93286" y="0"/>
          <a:ext cx="1664272" cy="9349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59"/>
  <sheetViews>
    <sheetView showGridLines="0" tabSelected="1" zoomScale="70" zoomScaleNormal="70" workbookViewId="0">
      <selection activeCell="G16" sqref="G16:H16"/>
    </sheetView>
  </sheetViews>
  <sheetFormatPr defaultRowHeight="12.75" x14ac:dyDescent="0.2"/>
  <cols>
    <col min="1" max="1" width="13.85546875" style="1" customWidth="1"/>
    <col min="2" max="2" width="3.28515625" style="1" customWidth="1"/>
    <col min="3" max="4" width="22.28515625" style="1" customWidth="1"/>
    <col min="5" max="5" width="25.28515625" style="1" customWidth="1"/>
    <col min="6" max="6" width="31.7109375" style="7" bestFit="1" customWidth="1"/>
    <col min="7" max="7" width="15.42578125" style="1" customWidth="1"/>
    <col min="8" max="8" width="2.5703125" style="1" customWidth="1"/>
    <col min="9" max="10" width="16.7109375" style="1" customWidth="1"/>
    <col min="11" max="11" width="23" style="1" customWidth="1"/>
    <col min="12" max="12" width="5.5703125" style="1" customWidth="1"/>
    <col min="13" max="14" width="5.28515625" style="1" customWidth="1"/>
    <col min="15" max="18" width="15.28515625" style="2" customWidth="1"/>
    <col min="19" max="19" width="5.28515625" style="1" customWidth="1"/>
    <col min="20" max="24" width="13.28515625" style="2" customWidth="1"/>
    <col min="25" max="25" width="3" style="1" customWidth="1"/>
    <col min="26" max="30" width="13.28515625" style="1" customWidth="1"/>
    <col min="31" max="31" width="2.85546875" style="1" customWidth="1"/>
    <col min="32" max="36" width="13.28515625" style="1" customWidth="1"/>
    <col min="37" max="16384" width="9.140625" style="1"/>
  </cols>
  <sheetData>
    <row r="1" spans="1:18" ht="27.75" x14ac:dyDescent="0.4">
      <c r="A1" s="217" t="s">
        <v>0</v>
      </c>
      <c r="B1" s="218" t="s">
        <v>138</v>
      </c>
      <c r="C1" s="218"/>
      <c r="D1" s="218"/>
      <c r="E1" s="218"/>
      <c r="F1" s="218"/>
      <c r="G1" s="218"/>
      <c r="H1" s="218"/>
      <c r="I1" s="218"/>
      <c r="J1" s="218"/>
      <c r="K1" s="218"/>
      <c r="L1" s="218"/>
    </row>
    <row r="2" spans="1:18" ht="22.5" customHeight="1" x14ac:dyDescent="0.4">
      <c r="A2" s="217"/>
      <c r="B2" s="3"/>
      <c r="C2" s="4"/>
      <c r="D2" s="4"/>
      <c r="E2" s="4"/>
      <c r="F2" s="4"/>
      <c r="G2" s="4"/>
      <c r="H2" s="4"/>
      <c r="I2" s="4"/>
      <c r="J2" s="212"/>
      <c r="K2" s="212"/>
      <c r="L2" s="212"/>
    </row>
    <row r="3" spans="1:18" ht="23.25" x14ac:dyDescent="0.35">
      <c r="A3" s="217"/>
      <c r="B3" s="5" t="s">
        <v>1</v>
      </c>
      <c r="C3" s="5"/>
      <c r="D3" s="6"/>
      <c r="E3" s="6"/>
    </row>
    <row r="4" spans="1:18" ht="18.75" customHeight="1" x14ac:dyDescent="0.2">
      <c r="A4" s="217"/>
      <c r="B4" s="3"/>
      <c r="C4" s="3" t="s">
        <v>2</v>
      </c>
      <c r="D4" s="3"/>
      <c r="E4" s="3"/>
      <c r="F4" s="213" t="s">
        <v>3</v>
      </c>
      <c r="G4" s="213"/>
      <c r="H4" s="213"/>
      <c r="I4" s="213"/>
    </row>
    <row r="5" spans="1:18" ht="8.25" customHeight="1" thickBot="1" x14ac:dyDescent="0.25">
      <c r="A5" s="217"/>
      <c r="B5" s="3"/>
      <c r="C5" s="3"/>
      <c r="D5" s="3"/>
      <c r="E5" s="3"/>
    </row>
    <row r="6" spans="1:18" ht="5.0999999999999996" customHeight="1" x14ac:dyDescent="0.2">
      <c r="A6" s="217"/>
      <c r="B6" s="8"/>
      <c r="C6" s="9"/>
      <c r="D6" s="9"/>
      <c r="E6" s="9"/>
      <c r="F6" s="10"/>
      <c r="G6" s="9"/>
      <c r="H6" s="9"/>
      <c r="I6" s="9"/>
      <c r="J6" s="9"/>
      <c r="K6" s="9"/>
      <c r="L6" s="11"/>
    </row>
    <row r="7" spans="1:18" s="18" customFormat="1" ht="23.25" x14ac:dyDescent="0.35">
      <c r="A7" s="217"/>
      <c r="B7" s="12" t="s">
        <v>4</v>
      </c>
      <c r="C7" s="13"/>
      <c r="D7" s="13"/>
      <c r="E7" s="13"/>
      <c r="F7" s="14"/>
      <c r="G7" s="15"/>
      <c r="H7" s="15"/>
      <c r="I7" s="16"/>
      <c r="J7" s="16"/>
      <c r="K7" s="14"/>
      <c r="L7" s="17"/>
    </row>
    <row r="8" spans="1:18" s="23" customFormat="1" ht="4.5" customHeight="1" x14ac:dyDescent="0.2">
      <c r="A8" s="217"/>
      <c r="B8" s="19"/>
      <c r="C8" s="20"/>
      <c r="D8" s="20"/>
      <c r="E8" s="20"/>
      <c r="F8" s="21"/>
      <c r="G8" s="20"/>
      <c r="H8" s="20"/>
      <c r="I8" s="20"/>
      <c r="J8" s="20"/>
      <c r="K8" s="20"/>
      <c r="L8" s="22"/>
    </row>
    <row r="9" spans="1:18" s="23" customFormat="1" ht="15" thickBot="1" x14ac:dyDescent="0.25">
      <c r="A9" s="217"/>
      <c r="B9" s="19"/>
      <c r="C9" s="20"/>
      <c r="D9" s="20"/>
      <c r="E9" s="20"/>
      <c r="F9" s="24" t="s">
        <v>5</v>
      </c>
      <c r="G9" s="214" t="s">
        <v>6</v>
      </c>
      <c r="H9" s="214"/>
      <c r="I9" s="25" t="s">
        <v>7</v>
      </c>
      <c r="J9" s="20"/>
      <c r="K9" s="20"/>
      <c r="L9" s="22"/>
    </row>
    <row r="10" spans="1:18" s="23" customFormat="1" ht="15.75" thickBot="1" x14ac:dyDescent="0.3">
      <c r="A10" s="217"/>
      <c r="B10" s="221" t="s">
        <v>8</v>
      </c>
      <c r="C10" s="222"/>
      <c r="D10" s="222"/>
      <c r="E10" s="222"/>
      <c r="F10" s="26" t="s">
        <v>13</v>
      </c>
      <c r="G10" s="230"/>
      <c r="H10" s="211"/>
      <c r="I10" s="180"/>
      <c r="J10" s="226" t="str">
        <f>IF(AND(I10&lt;&gt;FALSE,VLOOKUP(F4,'Plan Defn'!A35:H40,7,FALSE)=0),"Error - Spouse Not Listed as Eligible","")</f>
        <v/>
      </c>
      <c r="K10" s="227"/>
      <c r="L10" s="228"/>
    </row>
    <row r="11" spans="1:18" s="23" customFormat="1" ht="14.1" customHeight="1" x14ac:dyDescent="0.2">
      <c r="A11" s="217"/>
      <c r="B11" s="221"/>
      <c r="C11" s="222"/>
      <c r="D11" s="222"/>
      <c r="E11" s="222"/>
      <c r="F11" s="24"/>
      <c r="G11" s="24"/>
      <c r="H11" s="24"/>
      <c r="I11" s="24"/>
      <c r="J11" s="24"/>
      <c r="K11" s="24"/>
      <c r="L11" s="22"/>
      <c r="Q11" s="28"/>
    </row>
    <row r="12" spans="1:18" s="23" customFormat="1" ht="5.25" customHeight="1" x14ac:dyDescent="0.2">
      <c r="A12" s="217"/>
      <c r="B12" s="19"/>
      <c r="C12" s="20"/>
      <c r="D12" s="20"/>
      <c r="E12" s="20"/>
      <c r="F12" s="24"/>
      <c r="G12" s="24"/>
      <c r="H12" s="24"/>
      <c r="I12" s="24"/>
      <c r="J12" s="24"/>
      <c r="K12" s="24"/>
      <c r="L12" s="22"/>
      <c r="R12" s="182" t="s">
        <v>113</v>
      </c>
    </row>
    <row r="13" spans="1:18" s="23" customFormat="1" ht="32.25" customHeight="1" x14ac:dyDescent="0.25">
      <c r="A13" s="217"/>
      <c r="B13" s="221" t="s">
        <v>10</v>
      </c>
      <c r="C13" s="222"/>
      <c r="D13" s="222"/>
      <c r="E13" s="222"/>
      <c r="F13" s="222"/>
      <c r="G13" s="222"/>
      <c r="H13" s="222"/>
      <c r="I13" s="222"/>
      <c r="J13" s="222"/>
      <c r="K13" s="222"/>
      <c r="L13" s="223"/>
      <c r="P13" s="3"/>
      <c r="R13" s="182">
        <f>IF(AND(J10="",K16="",K18="",K20="",K22="",K24="",K26="",K28="",K30="",K32=""),1,0)</f>
        <v>1</v>
      </c>
    </row>
    <row r="14" spans="1:18" s="23" customFormat="1" ht="6" customHeight="1" x14ac:dyDescent="0.2">
      <c r="A14" s="217"/>
      <c r="B14" s="19"/>
      <c r="C14" s="20"/>
      <c r="D14" s="20"/>
      <c r="E14" s="20"/>
      <c r="F14" s="24"/>
      <c r="G14" s="24"/>
      <c r="H14" s="24"/>
      <c r="I14" s="24"/>
      <c r="J14" s="24"/>
      <c r="K14" s="24"/>
      <c r="L14" s="22"/>
    </row>
    <row r="15" spans="1:18" s="23" customFormat="1" ht="14.85" customHeight="1" thickBot="1" x14ac:dyDescent="0.25">
      <c r="A15" s="217"/>
      <c r="B15" s="19"/>
      <c r="C15" s="20"/>
      <c r="D15" s="20"/>
      <c r="E15" s="20"/>
      <c r="F15" s="24" t="s">
        <v>5</v>
      </c>
      <c r="G15" s="229" t="s">
        <v>6</v>
      </c>
      <c r="H15" s="229"/>
      <c r="I15" s="25" t="s">
        <v>7</v>
      </c>
      <c r="J15" s="25" t="s">
        <v>11</v>
      </c>
      <c r="K15" s="24"/>
      <c r="L15" s="22"/>
    </row>
    <row r="16" spans="1:18" s="23" customFormat="1" ht="16.5" thickBot="1" x14ac:dyDescent="0.3">
      <c r="A16" s="217"/>
      <c r="B16" s="19"/>
      <c r="C16" s="13" t="s">
        <v>12</v>
      </c>
      <c r="D16" s="20"/>
      <c r="E16" s="20"/>
      <c r="F16" s="26" t="s">
        <v>13</v>
      </c>
      <c r="G16" s="210">
        <v>0</v>
      </c>
      <c r="H16" s="211"/>
      <c r="I16" s="27">
        <v>0</v>
      </c>
      <c r="J16" s="27">
        <v>0</v>
      </c>
      <c r="K16" s="185" t="str">
        <f>IF(AND(VLOOKUP(F$4,'Plan Defn'!A$35:H$40,7,FALSE)=0,'Plan Comparison Calculator'!I16&gt;0),"Error - Check Spouse/Child Enrollment",IF(AND(VLOOKUP(F$4,'Plan Defn'!A$35:H$40,8,FALSE)=0,'Plan Comparison Calculator'!J16&gt;0),"Error - Check Spouse/Child Enrollment",""))</f>
        <v/>
      </c>
      <c r="L16" s="186"/>
    </row>
    <row r="17" spans="1:12" s="23" customFormat="1" ht="5.25" customHeight="1" thickBot="1" x14ac:dyDescent="0.25">
      <c r="A17" s="217"/>
      <c r="B17" s="19"/>
      <c r="C17" s="13"/>
      <c r="D17" s="20"/>
      <c r="E17" s="20"/>
      <c r="F17" s="24"/>
      <c r="G17" s="20"/>
      <c r="H17" s="20"/>
      <c r="I17" s="20"/>
      <c r="J17" s="20"/>
      <c r="K17" s="24"/>
      <c r="L17" s="22"/>
    </row>
    <row r="18" spans="1:12" s="23" customFormat="1" ht="16.5" thickBot="1" x14ac:dyDescent="0.3">
      <c r="A18" s="217"/>
      <c r="B18" s="19"/>
      <c r="C18" s="13" t="s">
        <v>14</v>
      </c>
      <c r="D18" s="20"/>
      <c r="E18" s="20"/>
      <c r="F18" s="26" t="s">
        <v>13</v>
      </c>
      <c r="G18" s="210">
        <v>0</v>
      </c>
      <c r="H18" s="211"/>
      <c r="I18" s="27">
        <v>0</v>
      </c>
      <c r="J18" s="27">
        <v>0</v>
      </c>
      <c r="K18" s="184" t="str">
        <f>IF(AND(VLOOKUP(F$4,'Plan Defn'!A$35:H$40,7,FALSE)=0,'Plan Comparison Calculator'!I18&gt;0),"Error - Check Spouse/Child Enrollment",IF(AND(VLOOKUP(F$4,'Plan Defn'!A$35:H$40,8,FALSE)=0,'Plan Comparison Calculator'!J18&gt;0),"Error - Check Spouse/Child Enrollment",""))</f>
        <v/>
      </c>
      <c r="L18" s="22"/>
    </row>
    <row r="19" spans="1:12" s="23" customFormat="1" ht="5.25" customHeight="1" thickBot="1" x14ac:dyDescent="0.25">
      <c r="A19" s="217"/>
      <c r="B19" s="19"/>
      <c r="C19" s="13"/>
      <c r="D19" s="20"/>
      <c r="E19" s="20"/>
      <c r="F19" s="24"/>
      <c r="G19" s="20"/>
      <c r="H19" s="20"/>
      <c r="I19" s="20"/>
      <c r="J19" s="20"/>
      <c r="K19" s="24"/>
      <c r="L19" s="22"/>
    </row>
    <row r="20" spans="1:12" s="23" customFormat="1" ht="16.5" thickBot="1" x14ac:dyDescent="0.3">
      <c r="A20" s="217"/>
      <c r="B20" s="19"/>
      <c r="C20" s="13" t="s">
        <v>15</v>
      </c>
      <c r="D20" s="20"/>
      <c r="E20" s="20"/>
      <c r="F20" s="26" t="s">
        <v>13</v>
      </c>
      <c r="G20" s="210">
        <v>0</v>
      </c>
      <c r="H20" s="211"/>
      <c r="I20" s="27">
        <v>0</v>
      </c>
      <c r="J20" s="27">
        <v>0</v>
      </c>
      <c r="K20" s="184" t="str">
        <f>IF(AND(VLOOKUP(F$4,'Plan Defn'!A$35:H$40,7,FALSE)=0,'Plan Comparison Calculator'!I20&gt;0),"Error - Check Spouse/Child Enrollment",IF(AND(VLOOKUP(F$4,'Plan Defn'!A$35:H$40,8,FALSE)=0,'Plan Comparison Calculator'!J20&gt;0),"Error - Check Spouse/Child Enrollment",""))</f>
        <v/>
      </c>
      <c r="L20" s="22"/>
    </row>
    <row r="21" spans="1:12" s="23" customFormat="1" ht="5.25" customHeight="1" thickBot="1" x14ac:dyDescent="0.25">
      <c r="A21" s="217"/>
      <c r="B21" s="19"/>
      <c r="C21" s="13"/>
      <c r="D21" s="20"/>
      <c r="E21" s="20"/>
      <c r="F21" s="24"/>
      <c r="G21" s="20"/>
      <c r="H21" s="20"/>
      <c r="I21" s="20"/>
      <c r="J21" s="20"/>
      <c r="K21" s="24"/>
      <c r="L21" s="22"/>
    </row>
    <row r="22" spans="1:12" s="23" customFormat="1" ht="16.5" thickBot="1" x14ac:dyDescent="0.3">
      <c r="A22" s="217"/>
      <c r="B22" s="19"/>
      <c r="C22" s="13" t="s">
        <v>16</v>
      </c>
      <c r="D22" s="20"/>
      <c r="E22" s="20"/>
      <c r="F22" s="26" t="s">
        <v>13</v>
      </c>
      <c r="G22" s="210">
        <v>0</v>
      </c>
      <c r="H22" s="211"/>
      <c r="I22" s="27">
        <v>0</v>
      </c>
      <c r="J22" s="27">
        <v>0</v>
      </c>
      <c r="K22" s="184" t="str">
        <f>IF(AND(VLOOKUP(F$4,'Plan Defn'!A$35:H$40,7,FALSE)=0,'Plan Comparison Calculator'!I22&gt;0),"Error - Check Spouse/Child Enrollment",IF(AND(VLOOKUP(F$4,'Plan Defn'!A$35:H$40,8,FALSE)=0,'Plan Comparison Calculator'!J22&gt;0),"Error - Check Spouse/Child Enrollment",""))</f>
        <v/>
      </c>
      <c r="L22" s="22"/>
    </row>
    <row r="23" spans="1:12" s="23" customFormat="1" ht="5.25" customHeight="1" thickBot="1" x14ac:dyDescent="0.25">
      <c r="A23" s="217"/>
      <c r="B23" s="19"/>
      <c r="C23" s="13"/>
      <c r="D23" s="20"/>
      <c r="E23" s="20"/>
      <c r="F23" s="24"/>
      <c r="G23" s="20"/>
      <c r="H23" s="20"/>
      <c r="I23" s="20"/>
      <c r="J23" s="20"/>
      <c r="K23" s="24"/>
      <c r="L23" s="22"/>
    </row>
    <row r="24" spans="1:12" s="23" customFormat="1" ht="16.5" thickBot="1" x14ac:dyDescent="0.3">
      <c r="A24" s="217"/>
      <c r="B24" s="19"/>
      <c r="C24" s="13" t="s">
        <v>17</v>
      </c>
      <c r="D24" s="20"/>
      <c r="E24" s="20"/>
      <c r="F24" s="26" t="s">
        <v>13</v>
      </c>
      <c r="G24" s="210">
        <v>0</v>
      </c>
      <c r="H24" s="211"/>
      <c r="I24" s="27">
        <v>0</v>
      </c>
      <c r="J24" s="27">
        <v>0</v>
      </c>
      <c r="K24" s="184" t="str">
        <f>IF(AND(VLOOKUP(F$4,'Plan Defn'!A$35:H$40,7,FALSE)=0,'Plan Comparison Calculator'!I24&gt;0),"Error - Check Spouse/Child Enrollment",IF(AND(VLOOKUP(F$4,'Plan Defn'!A$35:H$40,8,FALSE)=0,'Plan Comparison Calculator'!J24&gt;0),"Error - Check Spouse/Child Enrollment",""))</f>
        <v/>
      </c>
      <c r="L24" s="22"/>
    </row>
    <row r="25" spans="1:12" s="23" customFormat="1" ht="5.25" customHeight="1" thickBot="1" x14ac:dyDescent="0.25">
      <c r="A25" s="217"/>
      <c r="B25" s="19"/>
      <c r="C25" s="13"/>
      <c r="D25" s="20"/>
      <c r="E25" s="20"/>
      <c r="F25" s="24"/>
      <c r="G25" s="20"/>
      <c r="H25" s="20"/>
      <c r="I25" s="20"/>
      <c r="J25" s="20"/>
      <c r="K25" s="24"/>
      <c r="L25" s="22"/>
    </row>
    <row r="26" spans="1:12" s="23" customFormat="1" ht="16.5" thickBot="1" x14ac:dyDescent="0.3">
      <c r="A26" s="217"/>
      <c r="B26" s="19"/>
      <c r="C26" s="13" t="s">
        <v>18</v>
      </c>
      <c r="D26" s="20"/>
      <c r="E26" s="20"/>
      <c r="F26" s="26" t="s">
        <v>13</v>
      </c>
      <c r="G26" s="210">
        <v>0</v>
      </c>
      <c r="H26" s="211"/>
      <c r="I26" s="27">
        <v>0</v>
      </c>
      <c r="J26" s="27">
        <v>0</v>
      </c>
      <c r="K26" s="184" t="str">
        <f>IF(AND(VLOOKUP(F$4,'Plan Defn'!A$35:H$40,7,FALSE)=0,'Plan Comparison Calculator'!I26&gt;0),"Error - Check Spouse/Child Enrollment",IF(AND(VLOOKUP(F$4,'Plan Defn'!A$35:H$40,8,FALSE)=0,'Plan Comparison Calculator'!J26&gt;0),"Error - Check Spouse/Child Enrollment",""))</f>
        <v/>
      </c>
      <c r="L26" s="22"/>
    </row>
    <row r="27" spans="1:12" s="23" customFormat="1" ht="5.25" customHeight="1" thickBot="1" x14ac:dyDescent="0.25">
      <c r="A27" s="217"/>
      <c r="B27" s="19"/>
      <c r="C27" s="13"/>
      <c r="D27" s="20"/>
      <c r="E27" s="20"/>
      <c r="F27" s="24"/>
      <c r="G27" s="20"/>
      <c r="H27" s="20"/>
      <c r="I27" s="20"/>
      <c r="J27" s="20"/>
      <c r="K27" s="24"/>
      <c r="L27" s="22"/>
    </row>
    <row r="28" spans="1:12" s="23" customFormat="1" ht="16.5" thickBot="1" x14ac:dyDescent="0.3">
      <c r="A28" s="217"/>
      <c r="B28" s="19"/>
      <c r="C28" s="13" t="s">
        <v>19</v>
      </c>
      <c r="D28" s="20"/>
      <c r="E28" s="20"/>
      <c r="F28" s="26" t="s">
        <v>13</v>
      </c>
      <c r="G28" s="210">
        <v>0</v>
      </c>
      <c r="H28" s="211"/>
      <c r="I28" s="27">
        <v>0</v>
      </c>
      <c r="J28" s="27">
        <v>0</v>
      </c>
      <c r="K28" s="184" t="str">
        <f>IF(AND(VLOOKUP(F$4,'Plan Defn'!A$35:H$40,7,FALSE)=0,'Plan Comparison Calculator'!I28&gt;0),"Error - Check Spouse/Child Enrollment",IF(AND(VLOOKUP(F$4,'Plan Defn'!A$35:H$40,8,FALSE)=0,'Plan Comparison Calculator'!J28&gt;0),"Error - Check Spouse/Child Enrollment",""))</f>
        <v/>
      </c>
      <c r="L28" s="22"/>
    </row>
    <row r="29" spans="1:12" s="23" customFormat="1" ht="5.25" customHeight="1" thickBot="1" x14ac:dyDescent="0.25">
      <c r="A29" s="217"/>
      <c r="B29" s="19"/>
      <c r="C29" s="13"/>
      <c r="D29" s="20"/>
      <c r="E29" s="20"/>
      <c r="F29" s="24"/>
      <c r="G29" s="20"/>
      <c r="H29" s="20"/>
      <c r="I29" s="20"/>
      <c r="J29" s="20"/>
      <c r="K29" s="24"/>
      <c r="L29" s="22"/>
    </row>
    <row r="30" spans="1:12" s="23" customFormat="1" ht="16.5" thickBot="1" x14ac:dyDescent="0.3">
      <c r="A30" s="217"/>
      <c r="B30" s="19"/>
      <c r="C30" s="13" t="s">
        <v>20</v>
      </c>
      <c r="D30" s="20"/>
      <c r="E30" s="20"/>
      <c r="F30" s="26" t="s">
        <v>13</v>
      </c>
      <c r="G30" s="210">
        <v>0</v>
      </c>
      <c r="H30" s="211"/>
      <c r="I30" s="27">
        <v>0</v>
      </c>
      <c r="J30" s="27">
        <v>0</v>
      </c>
      <c r="K30" s="184" t="str">
        <f>IF(AND(VLOOKUP(F$4,'Plan Defn'!A$35:H$40,7,FALSE)=0,'Plan Comparison Calculator'!I30&gt;0),"Error - Check Spouse/Child Enrollment",IF(AND(VLOOKUP(F$4,'Plan Defn'!A$35:H$40,8,FALSE)=0,'Plan Comparison Calculator'!J30&gt;0),"Error - Check Spouse/Child Enrollment",""))</f>
        <v/>
      </c>
      <c r="L30" s="22"/>
    </row>
    <row r="31" spans="1:12" s="23" customFormat="1" ht="5.25" customHeight="1" thickBot="1" x14ac:dyDescent="0.25">
      <c r="A31" s="217"/>
      <c r="B31" s="19"/>
      <c r="C31" s="13"/>
      <c r="D31" s="20"/>
      <c r="E31" s="20"/>
      <c r="F31" s="24"/>
      <c r="G31" s="20"/>
      <c r="H31" s="20"/>
      <c r="I31" s="20"/>
      <c r="J31" s="20"/>
      <c r="K31" s="24"/>
      <c r="L31" s="22"/>
    </row>
    <row r="32" spans="1:12" s="23" customFormat="1" ht="16.5" thickBot="1" x14ac:dyDescent="0.3">
      <c r="A32" s="217"/>
      <c r="B32" s="19"/>
      <c r="C32" s="13" t="s">
        <v>21</v>
      </c>
      <c r="D32" s="20"/>
      <c r="E32" s="20"/>
      <c r="F32" s="26" t="s">
        <v>13</v>
      </c>
      <c r="G32" s="210">
        <v>0</v>
      </c>
      <c r="H32" s="211"/>
      <c r="I32" s="27">
        <v>0</v>
      </c>
      <c r="J32" s="27">
        <v>0</v>
      </c>
      <c r="K32" s="184" t="str">
        <f>IF(AND(VLOOKUP(F$4,'Plan Defn'!A$35:H$40,7,FALSE)=0,'Plan Comparison Calculator'!I32&gt;0),"Error - Check Spouse/Child Enrollment",IF(AND(VLOOKUP(F$4,'Plan Defn'!A$35:H$40,8,FALSE)=0,'Plan Comparison Calculator'!J32&gt;0),"Error - Check Spouse/Child Enrollment",""))</f>
        <v/>
      </c>
      <c r="L32" s="22"/>
    </row>
    <row r="33" spans="1:12" s="23" customFormat="1" ht="5.25" customHeight="1" x14ac:dyDescent="0.2">
      <c r="A33" s="217"/>
      <c r="B33" s="19"/>
      <c r="C33" s="20"/>
      <c r="D33" s="20"/>
      <c r="E33" s="20"/>
      <c r="F33" s="24"/>
      <c r="G33" s="20"/>
      <c r="H33" s="20"/>
      <c r="I33" s="20"/>
      <c r="J33" s="20" t="s">
        <v>22</v>
      </c>
      <c r="K33" s="24"/>
      <c r="L33" s="22"/>
    </row>
    <row r="34" spans="1:12" s="23" customFormat="1" ht="23.25" x14ac:dyDescent="0.35">
      <c r="A34" s="217"/>
      <c r="B34" s="12" t="s">
        <v>23</v>
      </c>
      <c r="C34" s="20"/>
      <c r="D34" s="20"/>
      <c r="E34" s="20"/>
      <c r="F34" s="29"/>
      <c r="G34" s="25"/>
      <c r="H34" s="25"/>
      <c r="I34" s="25"/>
      <c r="J34" s="20"/>
      <c r="K34" s="29"/>
      <c r="L34" s="22"/>
    </row>
    <row r="35" spans="1:12" s="23" customFormat="1" ht="5.25" customHeight="1" x14ac:dyDescent="0.2">
      <c r="A35" s="217"/>
      <c r="B35" s="19"/>
      <c r="C35" s="20"/>
      <c r="D35" s="20"/>
      <c r="E35" s="20"/>
      <c r="F35" s="24"/>
      <c r="G35" s="20"/>
      <c r="H35" s="20"/>
      <c r="I35" s="20"/>
      <c r="J35" s="20"/>
      <c r="K35" s="24"/>
      <c r="L35" s="22"/>
    </row>
    <row r="36" spans="1:12" s="23" customFormat="1" ht="14.1" customHeight="1" x14ac:dyDescent="0.25">
      <c r="A36" s="217"/>
      <c r="B36" s="30" t="s">
        <v>24</v>
      </c>
      <c r="C36" s="31"/>
      <c r="D36" s="31"/>
      <c r="E36" s="31"/>
      <c r="F36" s="32"/>
      <c r="G36" s="33"/>
      <c r="H36" s="33"/>
      <c r="I36" s="33"/>
      <c r="J36" s="31"/>
      <c r="K36" s="32"/>
      <c r="L36" s="34"/>
    </row>
    <row r="37" spans="1:12" s="23" customFormat="1" ht="30.75" customHeight="1" thickBot="1" x14ac:dyDescent="0.25">
      <c r="A37" s="217"/>
      <c r="B37" s="19"/>
      <c r="C37" s="13" t="s">
        <v>25</v>
      </c>
      <c r="D37" s="20"/>
      <c r="E37" s="24" t="s">
        <v>5</v>
      </c>
      <c r="F37" s="35" t="s">
        <v>26</v>
      </c>
      <c r="G37" s="224" t="s">
        <v>126</v>
      </c>
      <c r="H37" s="224"/>
      <c r="I37" s="224"/>
      <c r="J37" s="224"/>
      <c r="K37" s="224"/>
      <c r="L37" s="225"/>
    </row>
    <row r="38" spans="1:12" s="23" customFormat="1" ht="13.5" customHeight="1" thickBot="1" x14ac:dyDescent="0.25">
      <c r="A38" s="217"/>
      <c r="B38" s="19"/>
      <c r="C38" s="36" t="s">
        <v>27</v>
      </c>
      <c r="D38" s="20"/>
      <c r="E38" s="183" t="s">
        <v>13</v>
      </c>
      <c r="F38" s="27"/>
      <c r="G38" s="224"/>
      <c r="H38" s="224"/>
      <c r="I38" s="224"/>
      <c r="J38" s="224"/>
      <c r="K38" s="224"/>
      <c r="L38" s="225"/>
    </row>
    <row r="39" spans="1:12" s="23" customFormat="1" ht="14.1" customHeight="1" thickBot="1" x14ac:dyDescent="0.25">
      <c r="A39" s="217"/>
      <c r="B39" s="19"/>
      <c r="C39" s="36" t="s">
        <v>28</v>
      </c>
      <c r="D39" s="20"/>
      <c r="E39" s="183" t="s">
        <v>13</v>
      </c>
      <c r="F39" s="27"/>
      <c r="G39" s="224"/>
      <c r="H39" s="224"/>
      <c r="I39" s="224"/>
      <c r="J39" s="224"/>
      <c r="K39" s="224"/>
      <c r="L39" s="225"/>
    </row>
    <row r="40" spans="1:12" s="23" customFormat="1" ht="14.1" customHeight="1" thickBot="1" x14ac:dyDescent="0.25">
      <c r="A40" s="217"/>
      <c r="B40" s="19"/>
      <c r="C40" s="36" t="s">
        <v>29</v>
      </c>
      <c r="D40" s="20"/>
      <c r="E40" s="183" t="s">
        <v>13</v>
      </c>
      <c r="F40" s="27"/>
      <c r="G40" s="224"/>
      <c r="H40" s="224"/>
      <c r="I40" s="224"/>
      <c r="J40" s="224"/>
      <c r="K40" s="224"/>
      <c r="L40" s="225"/>
    </row>
    <row r="41" spans="1:12" s="23" customFormat="1" ht="5.25" customHeight="1" x14ac:dyDescent="0.2">
      <c r="A41" s="217"/>
      <c r="B41" s="19"/>
      <c r="C41" s="20"/>
      <c r="D41" s="20"/>
      <c r="E41" s="20"/>
      <c r="F41" s="24"/>
      <c r="G41" s="224"/>
      <c r="H41" s="224"/>
      <c r="I41" s="224"/>
      <c r="J41" s="224"/>
      <c r="K41" s="224"/>
      <c r="L41" s="225"/>
    </row>
    <row r="42" spans="1:12" s="18" customFormat="1" ht="5.25" customHeight="1" x14ac:dyDescent="0.25">
      <c r="A42" s="217"/>
      <c r="B42" s="37"/>
      <c r="C42" s="13"/>
      <c r="D42" s="13"/>
      <c r="E42" s="13"/>
      <c r="F42" s="38"/>
      <c r="G42" s="39"/>
      <c r="H42" s="39"/>
      <c r="I42" s="38"/>
      <c r="J42" s="39"/>
      <c r="K42" s="40"/>
      <c r="L42" s="41"/>
    </row>
    <row r="43" spans="1:12" s="23" customFormat="1" ht="5.25" customHeight="1" x14ac:dyDescent="0.2">
      <c r="A43" s="217"/>
      <c r="B43" s="42"/>
      <c r="C43" s="43"/>
      <c r="D43" s="43"/>
      <c r="E43" s="43"/>
      <c r="F43" s="44"/>
      <c r="G43" s="44"/>
      <c r="H43" s="44"/>
      <c r="I43" s="44"/>
      <c r="J43" s="44"/>
      <c r="K43" s="44"/>
      <c r="L43" s="45"/>
    </row>
    <row r="44" spans="1:12" s="23" customFormat="1" ht="5.25" customHeight="1" x14ac:dyDescent="0.2">
      <c r="A44" s="217"/>
      <c r="B44" s="19"/>
      <c r="C44" s="20"/>
      <c r="D44" s="20"/>
      <c r="E44" s="20"/>
      <c r="F44" s="24"/>
      <c r="G44" s="24"/>
      <c r="H44" s="24"/>
      <c r="I44" s="24"/>
      <c r="J44" s="24"/>
      <c r="K44" s="24"/>
      <c r="L44" s="22"/>
    </row>
    <row r="45" spans="1:12" s="47" customFormat="1" ht="23.25" x14ac:dyDescent="0.35">
      <c r="A45" s="217"/>
      <c r="B45" s="12" t="s">
        <v>30</v>
      </c>
      <c r="C45" s="46"/>
      <c r="D45" s="46"/>
      <c r="E45" s="46"/>
      <c r="G45" s="16" t="str">
        <f>P2_Plan</f>
        <v>Access PPO</v>
      </c>
      <c r="H45" s="16"/>
      <c r="I45" s="16" t="str">
        <f>P3_Plan</f>
        <v>Essentials</v>
      </c>
      <c r="J45" s="205" t="s">
        <v>105</v>
      </c>
      <c r="L45" s="48"/>
    </row>
    <row r="46" spans="1:12" s="50" customFormat="1" ht="15.75" x14ac:dyDescent="0.25">
      <c r="A46" s="217"/>
      <c r="B46" s="49"/>
      <c r="C46" s="13" t="s">
        <v>31</v>
      </c>
      <c r="D46" s="20"/>
      <c r="E46" s="20"/>
      <c r="G46" s="51">
        <f>VLOOKUP($F$4,'OOP Calc'!$C$118:$D$123,2,FALSE)*Error</f>
        <v>0</v>
      </c>
      <c r="H46" s="51"/>
      <c r="I46" s="51">
        <f>VLOOKUP($F$4,'OOP Calc'!$C$178:$D$183,2,FALSE)*Error</f>
        <v>0</v>
      </c>
      <c r="J46" s="51">
        <f>VLOOKUP($F$4,'OOP Calc'!$C$238:$D$243,2,FALSE)*Error</f>
        <v>0</v>
      </c>
      <c r="L46" s="52"/>
    </row>
    <row r="47" spans="1:12" s="50" customFormat="1" ht="15.75" x14ac:dyDescent="0.25">
      <c r="A47" s="217"/>
      <c r="B47" s="49"/>
      <c r="C47" s="13" t="s">
        <v>125</v>
      </c>
      <c r="D47" s="20"/>
      <c r="E47" s="20"/>
      <c r="G47" s="53">
        <f>VLOOKUP($F$4,Employee_CostShare,3,FALSE)*12</f>
        <v>661.2</v>
      </c>
      <c r="H47" s="54"/>
      <c r="I47" s="53">
        <f>VLOOKUP($F$4,Employee_CostShare,5,FALSE)*12</f>
        <v>240</v>
      </c>
      <c r="J47" s="53">
        <f>VLOOKUP($F$4,Employee_CostShare,2,FALSE)*12</f>
        <v>180</v>
      </c>
      <c r="L47" s="52"/>
    </row>
    <row r="48" spans="1:12" s="50" customFormat="1" ht="18" customHeight="1" x14ac:dyDescent="0.25">
      <c r="A48" s="217"/>
      <c r="B48" s="49"/>
      <c r="C48" s="13" t="s">
        <v>137</v>
      </c>
      <c r="D48" s="20"/>
      <c r="E48" s="20"/>
      <c r="G48" s="206" t="s">
        <v>129</v>
      </c>
      <c r="H48" s="55"/>
      <c r="I48" s="206" t="s">
        <v>129</v>
      </c>
      <c r="J48" s="54">
        <f>-VLOOKUP($F$4,HSA_Contribution,2,FALSE)</f>
        <v>-900</v>
      </c>
      <c r="L48" s="52"/>
    </row>
    <row r="49" spans="1:24" s="50" customFormat="1" ht="3" customHeight="1" x14ac:dyDescent="0.25">
      <c r="A49" s="217"/>
      <c r="B49" s="49" t="s">
        <v>32</v>
      </c>
      <c r="C49" s="20"/>
      <c r="D49" s="20"/>
      <c r="E49" s="20"/>
      <c r="G49" s="55"/>
      <c r="H49" s="55"/>
      <c r="I49" s="55">
        <f>SUM(G46:G47)</f>
        <v>661.2</v>
      </c>
      <c r="L49" s="52"/>
    </row>
    <row r="50" spans="1:24" s="23" customFormat="1" ht="5.25" customHeight="1" thickBot="1" x14ac:dyDescent="0.25">
      <c r="A50" s="217"/>
      <c r="B50" s="56"/>
      <c r="C50" s="57"/>
      <c r="D50" s="57"/>
      <c r="E50" s="57"/>
      <c r="F50" s="58"/>
      <c r="G50" s="58"/>
      <c r="H50" s="58"/>
      <c r="I50" s="58"/>
      <c r="J50" s="58"/>
      <c r="K50" s="58"/>
      <c r="L50" s="59"/>
    </row>
    <row r="51" spans="1:24" s="23" customFormat="1" ht="5.25" customHeight="1" thickBot="1" x14ac:dyDescent="0.25">
      <c r="A51" s="217"/>
      <c r="B51" s="60"/>
      <c r="C51" s="60"/>
      <c r="D51" s="60"/>
      <c r="E51" s="60"/>
      <c r="F51" s="61"/>
      <c r="G51" s="61"/>
      <c r="H51" s="61"/>
      <c r="I51" s="61"/>
      <c r="J51" s="61"/>
      <c r="K51" s="61"/>
      <c r="L51" s="60"/>
    </row>
    <row r="52" spans="1:24" s="47" customFormat="1" ht="27" customHeight="1" x14ac:dyDescent="0.35">
      <c r="A52" s="217"/>
      <c r="B52" s="62" t="s">
        <v>33</v>
      </c>
      <c r="C52" s="63"/>
      <c r="D52" s="64"/>
      <c r="E52" s="64"/>
      <c r="F52" s="65"/>
      <c r="G52" s="66">
        <f>SUM(G46:G48)</f>
        <v>661.2</v>
      </c>
      <c r="H52" s="66"/>
      <c r="I52" s="66">
        <f>SUM(I46:I48)</f>
        <v>240</v>
      </c>
      <c r="J52" s="66">
        <f>SUM(J46:J48)</f>
        <v>-720</v>
      </c>
      <c r="K52" s="65"/>
      <c r="L52" s="67"/>
    </row>
    <row r="53" spans="1:24" s="23" customFormat="1" ht="27" customHeight="1" thickBot="1" x14ac:dyDescent="0.3">
      <c r="A53" s="217"/>
      <c r="B53" s="68"/>
      <c r="C53" s="69" t="s">
        <v>128</v>
      </c>
      <c r="D53" s="69"/>
      <c r="E53" s="69"/>
      <c r="F53" s="70"/>
      <c r="G53" s="70"/>
      <c r="H53" s="70"/>
      <c r="I53" s="70"/>
      <c r="J53" s="70"/>
      <c r="K53" s="70"/>
      <c r="L53" s="71"/>
    </row>
    <row r="54" spans="1:24" s="23" customFormat="1" ht="5.25" customHeight="1" x14ac:dyDescent="0.2">
      <c r="A54" s="217"/>
      <c r="B54" s="179"/>
      <c r="C54" s="20"/>
      <c r="D54" s="20"/>
      <c r="E54" s="20"/>
      <c r="F54" s="72"/>
      <c r="G54" s="72"/>
      <c r="H54" s="72"/>
      <c r="I54" s="72"/>
      <c r="J54" s="72"/>
      <c r="K54" s="72"/>
      <c r="L54" s="20"/>
      <c r="M54" s="20"/>
    </row>
    <row r="55" spans="1:24" s="73" customFormat="1" ht="40.5" customHeight="1" x14ac:dyDescent="0.2">
      <c r="A55" s="217"/>
      <c r="B55" s="220" t="s">
        <v>109</v>
      </c>
      <c r="C55" s="220"/>
      <c r="D55" s="220"/>
      <c r="E55" s="220"/>
      <c r="F55" s="220"/>
      <c r="G55" s="220"/>
      <c r="H55" s="220"/>
      <c r="I55" s="220"/>
      <c r="J55" s="220"/>
      <c r="K55" s="220"/>
      <c r="L55" s="220"/>
    </row>
    <row r="56" spans="1:24" s="73" customFormat="1" ht="62.25" customHeight="1" x14ac:dyDescent="0.2">
      <c r="A56" s="217"/>
      <c r="B56" s="215" t="s">
        <v>112</v>
      </c>
      <c r="C56" s="216"/>
      <c r="D56" s="216"/>
      <c r="E56" s="216"/>
      <c r="F56" s="216"/>
      <c r="G56" s="216"/>
      <c r="H56" s="216"/>
      <c r="I56" s="216"/>
      <c r="J56" s="216"/>
      <c r="K56" s="216"/>
      <c r="L56" s="216"/>
      <c r="O56" s="76"/>
      <c r="P56" s="76"/>
      <c r="Q56" s="76"/>
      <c r="R56" s="76"/>
      <c r="T56" s="76"/>
      <c r="U56" s="76"/>
      <c r="V56" s="76"/>
      <c r="W56" s="76"/>
      <c r="X56" s="76"/>
    </row>
    <row r="57" spans="1:24" s="73" customFormat="1" ht="38.25" customHeight="1" x14ac:dyDescent="0.25">
      <c r="A57" s="217"/>
      <c r="B57" s="219" t="s">
        <v>34</v>
      </c>
      <c r="C57" s="219"/>
      <c r="D57" s="219"/>
      <c r="E57" s="219"/>
      <c r="F57" s="219"/>
      <c r="G57" s="219"/>
      <c r="H57" s="219"/>
      <c r="I57" s="219"/>
      <c r="J57" s="219"/>
      <c r="K57" s="219"/>
      <c r="L57" s="219"/>
      <c r="O57" s="76"/>
      <c r="P57" s="76"/>
      <c r="Q57" s="76"/>
      <c r="R57" s="76"/>
      <c r="T57" s="76"/>
      <c r="U57" s="76"/>
      <c r="V57" s="76"/>
      <c r="W57" s="76"/>
      <c r="X57" s="76"/>
    </row>
    <row r="58" spans="1:24" s="73" customFormat="1" ht="15" customHeight="1" x14ac:dyDescent="0.2">
      <c r="B58" s="74"/>
      <c r="C58" s="3"/>
      <c r="D58" s="3"/>
      <c r="E58" s="3"/>
      <c r="F58" s="75"/>
      <c r="O58" s="76"/>
      <c r="P58" s="76"/>
      <c r="Q58" s="76"/>
      <c r="R58" s="76"/>
      <c r="T58" s="76"/>
      <c r="U58" s="76"/>
      <c r="V58" s="76"/>
      <c r="W58" s="76"/>
      <c r="X58" s="76"/>
    </row>
    <row r="59" spans="1:24" ht="15" customHeight="1" x14ac:dyDescent="0.2">
      <c r="B59" s="3"/>
      <c r="C59" s="3"/>
      <c r="D59" s="3"/>
      <c r="E59" s="3"/>
    </row>
  </sheetData>
  <sheetProtection algorithmName="SHA-512" hashValue="MJro1MEJUoq6hKQ6H+sg5YP24D99CrJyAHDEiZ7WpPNfKikj+JqI/WW3y7a5Tlr3xWWkJfE/04xlrK6tcZ+Qbg==" saltValue="nueVVsojtgJ2kQwQksYK6Q==" spinCount="100000" sheet="1" objects="1" scenarios="1" selectLockedCells="1"/>
  <mergeCells count="23">
    <mergeCell ref="B56:L56"/>
    <mergeCell ref="A1:A57"/>
    <mergeCell ref="B1:L1"/>
    <mergeCell ref="B57:L57"/>
    <mergeCell ref="B55:L55"/>
    <mergeCell ref="B13:L13"/>
    <mergeCell ref="G37:L41"/>
    <mergeCell ref="B10:E11"/>
    <mergeCell ref="J10:L10"/>
    <mergeCell ref="G32:H32"/>
    <mergeCell ref="G28:H28"/>
    <mergeCell ref="G16:H16"/>
    <mergeCell ref="G15:H15"/>
    <mergeCell ref="G10:H10"/>
    <mergeCell ref="G22:H22"/>
    <mergeCell ref="G18:H18"/>
    <mergeCell ref="G20:H20"/>
    <mergeCell ref="G26:H26"/>
    <mergeCell ref="J2:L2"/>
    <mergeCell ref="F4:I4"/>
    <mergeCell ref="G30:H30"/>
    <mergeCell ref="G24:H24"/>
    <mergeCell ref="G9:H9"/>
  </mergeCells>
  <phoneticPr fontId="2" type="noConversion"/>
  <dataValidations count="5">
    <dataValidation showInputMessage="1" showErrorMessage="1" sqref="E38:E40 G37"/>
    <dataValidation type="list" showInputMessage="1" showErrorMessage="1" sqref="F10 F20 F30 F16 F18 F32 F24 F26 F28 F22">
      <formula1>Network_Choice</formula1>
    </dataValidation>
    <dataValidation type="list" allowBlank="1" showInputMessage="1" showErrorMessage="1" sqref="G16 I16">
      <formula1>EE_Phys</formula1>
    </dataValidation>
    <dataValidation type="list" allowBlank="1" showInputMessage="1" showErrorMessage="1" sqref="J16 I32:J32 G32 G30 G28 G26 G24 G22 G20 G18 I18:J18 I20:J20 I22:J22 I24:J24 I26:J26 I28:J28 I30:J30">
      <formula1>Visits</formula1>
    </dataValidation>
    <dataValidation type="list" allowBlank="1" showInputMessage="1" showErrorMessage="1" sqref="F4:I4">
      <formula1>Coverage</formula1>
    </dataValidation>
  </dataValidations>
  <printOptions horizontalCentered="1"/>
  <pageMargins left="0.22" right="0.67" top="0.68" bottom="0.25" header="0.19" footer="0.26"/>
  <pageSetup scale="65" orientation="landscape" r:id="rId1"/>
  <headerFooter alignWithMargins="0"/>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243"/>
  <sheetViews>
    <sheetView zoomScale="75" workbookViewId="0">
      <pane xSplit="2" ySplit="7" topLeftCell="I195" activePane="bottomRight" state="frozen"/>
      <selection activeCell="G18" sqref="G18:H18"/>
      <selection pane="topRight" activeCell="G18" sqref="G18:H18"/>
      <selection pane="bottomLeft" activeCell="G18" sqref="G18:H18"/>
      <selection pane="bottomRight" activeCell="V238" sqref="V238"/>
    </sheetView>
  </sheetViews>
  <sheetFormatPr defaultRowHeight="12.75" x14ac:dyDescent="0.2"/>
  <cols>
    <col min="1" max="1" width="15.5703125" customWidth="1"/>
    <col min="2" max="2" width="33.28515625" bestFit="1" customWidth="1"/>
    <col min="3" max="4" width="10.42578125" customWidth="1"/>
    <col min="5" max="5" width="15.42578125" customWidth="1"/>
    <col min="6" max="6" width="11.5703125" customWidth="1"/>
    <col min="7" max="7" width="10.85546875" customWidth="1"/>
    <col min="8" max="8" width="9.85546875" customWidth="1"/>
    <col min="10" max="10" width="9.85546875" bestFit="1" customWidth="1"/>
    <col min="12" max="12" width="10.7109375" bestFit="1" customWidth="1"/>
    <col min="22" max="22" width="10" bestFit="1" customWidth="1"/>
    <col min="23" max="23" width="10" customWidth="1"/>
    <col min="31" max="31" width="11" bestFit="1" customWidth="1"/>
  </cols>
  <sheetData>
    <row r="1" spans="1:34" ht="20.25" customHeight="1" x14ac:dyDescent="0.2">
      <c r="B1" s="237">
        <v>1.1000000000000001</v>
      </c>
      <c r="C1" s="238" t="s">
        <v>35</v>
      </c>
      <c r="D1" s="238"/>
      <c r="E1" s="238"/>
      <c r="F1" s="238"/>
      <c r="G1" s="238"/>
      <c r="H1" s="238"/>
      <c r="I1" s="238"/>
      <c r="J1" s="238"/>
      <c r="K1" s="238"/>
      <c r="Q1" s="77"/>
      <c r="R1" s="77"/>
      <c r="S1" s="77"/>
    </row>
    <row r="2" spans="1:34" ht="12.75" customHeight="1" x14ac:dyDescent="0.2">
      <c r="B2" s="237"/>
      <c r="C2" s="238"/>
      <c r="D2" s="238"/>
      <c r="E2" s="238"/>
      <c r="F2" s="238"/>
      <c r="G2" s="238"/>
      <c r="H2" s="238"/>
      <c r="I2" s="238"/>
      <c r="J2" s="238"/>
      <c r="K2" s="238"/>
      <c r="P2" s="236" t="s">
        <v>36</v>
      </c>
      <c r="Q2" s="236"/>
      <c r="R2" s="236"/>
      <c r="S2" s="236"/>
      <c r="T2" s="233">
        <f>VLOOKUP('Plan Comparison Calculator'!$F4,'Plan Defn'!$A35:$H40,7,FALSE)</f>
        <v>0</v>
      </c>
      <c r="AA2" s="236" t="s">
        <v>36</v>
      </c>
      <c r="AB2" s="236"/>
      <c r="AC2" s="236"/>
      <c r="AD2" s="236"/>
      <c r="AE2" s="233">
        <f>IF(AND('Plan Comparison Calculator'!G10=FALSE,'Plan Comparison Calculator'!I10=FALSE),VLOOKUP('Plan Comparison Calculator'!$F4,'Plan Defn'!$A35:$H40,8,FALSE),1)</f>
        <v>0</v>
      </c>
    </row>
    <row r="3" spans="1:34" hidden="1" x14ac:dyDescent="0.2">
      <c r="B3" s="80"/>
      <c r="C3" s="81"/>
      <c r="D3" s="81"/>
      <c r="E3" s="81"/>
      <c r="F3" s="81"/>
      <c r="G3" s="81"/>
      <c r="H3" s="81"/>
      <c r="I3" s="81"/>
      <c r="J3" s="81"/>
      <c r="K3" s="81"/>
      <c r="L3" s="81"/>
      <c r="M3" s="82"/>
      <c r="P3" s="236"/>
      <c r="Q3" s="236"/>
      <c r="R3" s="236"/>
      <c r="S3" s="236"/>
      <c r="T3" s="233"/>
      <c r="X3" s="82"/>
      <c r="AA3" s="236"/>
      <c r="AB3" s="236"/>
      <c r="AC3" s="236"/>
      <c r="AD3" s="236"/>
      <c r="AE3" s="233"/>
    </row>
    <row r="4" spans="1:34" ht="15.75" hidden="1" x14ac:dyDescent="0.25">
      <c r="B4" s="83"/>
      <c r="C4" s="235" t="s">
        <v>6</v>
      </c>
      <c r="D4" s="235"/>
      <c r="E4" s="235"/>
      <c r="F4" s="235"/>
      <c r="G4" s="235"/>
      <c r="H4" s="235"/>
      <c r="I4" s="235"/>
      <c r="J4" s="235"/>
      <c r="K4" s="235"/>
      <c r="L4" s="84"/>
      <c r="M4" s="85"/>
      <c r="N4" s="235" t="s">
        <v>7</v>
      </c>
      <c r="O4" s="235"/>
      <c r="P4" s="235"/>
      <c r="Q4" s="235"/>
      <c r="R4" s="235"/>
      <c r="S4" s="235"/>
      <c r="T4" s="235"/>
      <c r="U4" s="235"/>
      <c r="V4" s="235"/>
      <c r="W4" s="84"/>
      <c r="X4" s="85"/>
      <c r="Y4" s="235" t="s">
        <v>11</v>
      </c>
      <c r="Z4" s="235"/>
      <c r="AA4" s="235"/>
      <c r="AB4" s="235"/>
      <c r="AC4" s="235"/>
      <c r="AD4" s="235"/>
      <c r="AE4" s="235"/>
      <c r="AF4" s="235"/>
      <c r="AG4" s="235"/>
      <c r="AH4" s="235"/>
    </row>
    <row r="5" spans="1:34" ht="15.75" hidden="1" x14ac:dyDescent="0.25">
      <c r="B5" s="83"/>
      <c r="C5" s="233" t="s">
        <v>37</v>
      </c>
      <c r="D5" s="233"/>
      <c r="E5" s="233" t="s">
        <v>38</v>
      </c>
      <c r="F5" s="233"/>
      <c r="G5" s="234" t="s">
        <v>39</v>
      </c>
      <c r="H5" s="234"/>
      <c r="I5" s="233" t="s">
        <v>40</v>
      </c>
      <c r="J5" s="233"/>
      <c r="K5" s="233" t="s">
        <v>41</v>
      </c>
      <c r="L5" s="233"/>
      <c r="M5" s="85"/>
      <c r="N5" s="233" t="s">
        <v>37</v>
      </c>
      <c r="O5" s="233"/>
      <c r="P5" s="233" t="s">
        <v>38</v>
      </c>
      <c r="Q5" s="233"/>
      <c r="R5" s="234" t="s">
        <v>39</v>
      </c>
      <c r="S5" s="234"/>
      <c r="T5" s="233" t="s">
        <v>40</v>
      </c>
      <c r="U5" s="233"/>
      <c r="V5" s="233" t="s">
        <v>41</v>
      </c>
      <c r="W5" s="233"/>
      <c r="X5" s="85"/>
      <c r="Y5" s="233" t="s">
        <v>37</v>
      </c>
      <c r="Z5" s="233"/>
      <c r="AA5" s="233" t="s">
        <v>38</v>
      </c>
      <c r="AB5" s="233"/>
      <c r="AC5" s="234" t="s">
        <v>39</v>
      </c>
      <c r="AD5" s="234"/>
      <c r="AE5" s="233" t="s">
        <v>40</v>
      </c>
      <c r="AF5" s="233"/>
      <c r="AG5" s="233" t="s">
        <v>41</v>
      </c>
      <c r="AH5" s="233"/>
    </row>
    <row r="6" spans="1:34" ht="14.25" hidden="1" x14ac:dyDescent="0.2">
      <c r="B6" s="86"/>
      <c r="C6" s="232" t="s">
        <v>42</v>
      </c>
      <c r="D6" s="232"/>
      <c r="E6" s="232" t="s">
        <v>42</v>
      </c>
      <c r="F6" s="232"/>
      <c r="G6" s="232" t="s">
        <v>42</v>
      </c>
      <c r="H6" s="232"/>
      <c r="I6" s="232" t="s">
        <v>42</v>
      </c>
      <c r="J6" s="232"/>
      <c r="K6" s="232" t="s">
        <v>42</v>
      </c>
      <c r="L6" s="232"/>
      <c r="M6" s="88"/>
      <c r="N6" s="232" t="s">
        <v>42</v>
      </c>
      <c r="O6" s="232"/>
      <c r="P6" s="232" t="s">
        <v>42</v>
      </c>
      <c r="Q6" s="232"/>
      <c r="R6" s="232" t="s">
        <v>42</v>
      </c>
      <c r="S6" s="232"/>
      <c r="T6" s="232" t="s">
        <v>42</v>
      </c>
      <c r="U6" s="232"/>
      <c r="V6" s="232" t="s">
        <v>42</v>
      </c>
      <c r="W6" s="232"/>
      <c r="X6" s="88"/>
      <c r="Y6" s="232" t="s">
        <v>42</v>
      </c>
      <c r="Z6" s="232"/>
      <c r="AA6" s="232" t="s">
        <v>42</v>
      </c>
      <c r="AB6" s="232"/>
      <c r="AC6" s="232" t="s">
        <v>42</v>
      </c>
      <c r="AD6" s="232"/>
      <c r="AE6" s="232" t="s">
        <v>42</v>
      </c>
      <c r="AF6" s="232"/>
      <c r="AG6" s="232" t="s">
        <v>42</v>
      </c>
      <c r="AH6" s="232"/>
    </row>
    <row r="7" spans="1:34" ht="14.25" hidden="1" x14ac:dyDescent="0.2">
      <c r="B7" s="86"/>
      <c r="C7" s="87" t="s">
        <v>43</v>
      </c>
      <c r="D7" s="87" t="s">
        <v>44</v>
      </c>
      <c r="E7" s="87" t="s">
        <v>43</v>
      </c>
      <c r="F7" s="87" t="s">
        <v>44</v>
      </c>
      <c r="G7" s="87" t="s">
        <v>43</v>
      </c>
      <c r="H7" s="87" t="s">
        <v>44</v>
      </c>
      <c r="I7" s="87" t="s">
        <v>43</v>
      </c>
      <c r="J7" s="87" t="s">
        <v>44</v>
      </c>
      <c r="K7" s="87" t="s">
        <v>43</v>
      </c>
      <c r="L7" s="87" t="s">
        <v>44</v>
      </c>
      <c r="M7" s="88"/>
      <c r="N7" s="87" t="s">
        <v>43</v>
      </c>
      <c r="O7" s="87" t="s">
        <v>44</v>
      </c>
      <c r="P7" s="87" t="s">
        <v>43</v>
      </c>
      <c r="Q7" s="87" t="s">
        <v>44</v>
      </c>
      <c r="R7" s="87" t="s">
        <v>43</v>
      </c>
      <c r="S7" s="87" t="s">
        <v>44</v>
      </c>
      <c r="T7" s="87" t="s">
        <v>43</v>
      </c>
      <c r="U7" s="87" t="s">
        <v>44</v>
      </c>
      <c r="V7" s="87" t="s">
        <v>43</v>
      </c>
      <c r="W7" s="87" t="s">
        <v>44</v>
      </c>
      <c r="X7" s="88"/>
      <c r="Y7" s="87" t="s">
        <v>43</v>
      </c>
      <c r="Z7" s="87" t="s">
        <v>44</v>
      </c>
      <c r="AA7" s="87" t="s">
        <v>43</v>
      </c>
      <c r="AB7" s="87" t="s">
        <v>44</v>
      </c>
      <c r="AC7" s="87" t="s">
        <v>43</v>
      </c>
      <c r="AD7" s="87" t="s">
        <v>44</v>
      </c>
      <c r="AE7" s="87" t="s">
        <v>43</v>
      </c>
      <c r="AF7" s="87" t="s">
        <v>44</v>
      </c>
      <c r="AG7" s="87" t="s">
        <v>43</v>
      </c>
      <c r="AH7" s="87" t="s">
        <v>44</v>
      </c>
    </row>
    <row r="8" spans="1:34" ht="15" hidden="1" x14ac:dyDescent="0.25">
      <c r="B8" s="89" t="s">
        <v>45</v>
      </c>
      <c r="C8" s="90">
        <f>IF('Plan Comparison Calculator'!$G$10=FALSE,0,3*P1_In_Ov+P1_In_Maternity_IP_Copay)</f>
        <v>0</v>
      </c>
      <c r="D8" s="91"/>
      <c r="E8" s="90">
        <f>IF('Plan Comparison Calculator'!$G$10=FALSE,0,Maternity_Office)</f>
        <v>0</v>
      </c>
      <c r="F8" s="91"/>
      <c r="G8" s="90">
        <f>IF('Plan Comparison Calculator'!$G$10=FALSE,0,Maternity_XrayLab)</f>
        <v>0</v>
      </c>
      <c r="H8" s="91"/>
      <c r="I8" s="90">
        <f>IF('Plan Comparison Calculator'!$G$10=FALSE,0,Maternity_Facility)</f>
        <v>0</v>
      </c>
      <c r="J8" s="91"/>
      <c r="K8" s="90">
        <f>IF('Plan Comparison Calculator'!$G$10=FALSE,0,Maternity_Physician)</f>
        <v>0</v>
      </c>
      <c r="L8" s="91"/>
      <c r="M8" s="88"/>
      <c r="N8" s="90">
        <f>IF('Plan Comparison Calculator'!$I$10=FALSE,0,3*P1_In_Ov+P1_In_Maternity_IP_Copay)</f>
        <v>0</v>
      </c>
      <c r="O8" s="91"/>
      <c r="P8" s="90">
        <f>IF('Plan Comparison Calculator'!$I$10=FALSE,0,Maternity_Office)</f>
        <v>0</v>
      </c>
      <c r="Q8" s="91"/>
      <c r="R8" s="90">
        <f>IF('Plan Comparison Calculator'!$I$10=FALSE,0,Maternity_XrayLab)</f>
        <v>0</v>
      </c>
      <c r="S8" s="91"/>
      <c r="T8" s="90">
        <f>IF('Plan Comparison Calculator'!$I$10=FALSE,0,Maternity_Facility)</f>
        <v>0</v>
      </c>
      <c r="U8" s="91"/>
      <c r="V8" s="90">
        <f>IF('Plan Comparison Calculator'!$I$10=FALSE,0,Maternity_Physician)</f>
        <v>0</v>
      </c>
      <c r="W8" s="91"/>
      <c r="X8" s="88"/>
      <c r="Y8" s="90"/>
      <c r="Z8" s="91"/>
      <c r="AA8" s="90"/>
      <c r="AB8" s="91"/>
      <c r="AC8" s="90"/>
      <c r="AD8" s="91"/>
      <c r="AE8" s="90">
        <f>IF(AND('Plan Comparison Calculator'!$G$10=FALSE,'Plan Comparison Calculator'!$I$10=FALSE),0,Baby_Facility)</f>
        <v>0</v>
      </c>
      <c r="AF8" s="91"/>
      <c r="AG8" s="90">
        <f>IF(AND('Plan Comparison Calculator'!$G$10=FALSE,'Plan Comparison Calculator'!$I$10=FALSE),0,Baby_Physician)</f>
        <v>0</v>
      </c>
      <c r="AH8" s="91"/>
    </row>
    <row r="9" spans="1:34" ht="15" hidden="1" x14ac:dyDescent="0.25">
      <c r="B9" s="89"/>
      <c r="C9" s="90"/>
      <c r="D9" s="91"/>
      <c r="E9" s="90"/>
      <c r="F9" s="91"/>
      <c r="G9" s="90"/>
      <c r="H9" s="91"/>
      <c r="I9" s="90"/>
      <c r="J9" s="91"/>
      <c r="K9" s="90"/>
      <c r="L9" s="91"/>
      <c r="M9" s="88"/>
      <c r="N9" s="90"/>
      <c r="O9" s="91"/>
      <c r="P9" s="90"/>
      <c r="Q9" s="91"/>
      <c r="R9" s="90"/>
      <c r="S9" s="91"/>
      <c r="T9" s="90"/>
      <c r="U9" s="91"/>
      <c r="V9" s="90"/>
      <c r="W9" s="91"/>
      <c r="X9" s="88"/>
      <c r="Y9" s="90"/>
      <c r="Z9" s="91"/>
      <c r="AA9" s="90"/>
      <c r="AB9" s="91"/>
      <c r="AC9" s="90"/>
      <c r="AD9" s="91"/>
      <c r="AE9" s="90"/>
      <c r="AF9" s="91"/>
      <c r="AG9" s="90"/>
      <c r="AH9" s="91"/>
    </row>
    <row r="10" spans="1:34" ht="15" hidden="1" customHeight="1" x14ac:dyDescent="0.25">
      <c r="A10" s="231" t="str">
        <f>P1_Plan</f>
        <v>HSA</v>
      </c>
      <c r="B10" s="89"/>
      <c r="C10" s="90"/>
      <c r="D10" s="91"/>
      <c r="E10" s="90"/>
      <c r="F10" s="91"/>
      <c r="G10" s="90"/>
      <c r="H10" s="91"/>
      <c r="I10" s="90"/>
      <c r="J10" s="91"/>
      <c r="K10" s="90"/>
      <c r="L10" s="91"/>
      <c r="M10" s="88"/>
      <c r="N10" s="90"/>
      <c r="O10" s="91"/>
      <c r="P10" s="90"/>
      <c r="Q10" s="91"/>
      <c r="R10" s="90"/>
      <c r="S10" s="91"/>
      <c r="T10" s="90"/>
      <c r="U10" s="91"/>
      <c r="V10" s="90"/>
      <c r="W10" s="91"/>
      <c r="X10" s="88"/>
      <c r="Y10" s="90"/>
      <c r="Z10" s="91"/>
      <c r="AA10" s="90"/>
      <c r="AB10" s="91"/>
      <c r="AC10" s="90"/>
      <c r="AD10" s="91"/>
      <c r="AE10" s="90"/>
      <c r="AF10" s="91"/>
      <c r="AG10" s="90"/>
      <c r="AH10" s="91"/>
    </row>
    <row r="11" spans="1:34" ht="15" hidden="1" x14ac:dyDescent="0.25">
      <c r="A11" s="231"/>
      <c r="B11" s="89"/>
      <c r="C11" s="92"/>
      <c r="D11" s="93"/>
      <c r="E11" s="92"/>
      <c r="F11" s="93"/>
      <c r="G11" s="92"/>
      <c r="H11" s="93"/>
      <c r="I11" s="92"/>
      <c r="J11" s="93"/>
      <c r="K11" s="92"/>
      <c r="L11" s="93"/>
      <c r="M11" s="88"/>
      <c r="N11" s="92"/>
      <c r="O11" s="93"/>
      <c r="P11" s="92"/>
      <c r="Q11" s="93"/>
      <c r="R11" s="92"/>
      <c r="S11" s="93"/>
      <c r="T11" s="92"/>
      <c r="U11" s="93"/>
      <c r="V11" s="92"/>
      <c r="W11" s="93"/>
      <c r="X11" s="88"/>
      <c r="Y11" s="92"/>
      <c r="Z11" s="93"/>
      <c r="AA11" s="92"/>
      <c r="AB11" s="93"/>
      <c r="AC11" s="92"/>
      <c r="AD11" s="93"/>
      <c r="AE11" s="92"/>
      <c r="AF11" s="93"/>
      <c r="AG11" s="92"/>
      <c r="AH11" s="93"/>
    </row>
    <row r="12" spans="1:34" ht="15" hidden="1" x14ac:dyDescent="0.25">
      <c r="A12" s="231"/>
      <c r="B12" s="89"/>
      <c r="C12" s="92"/>
      <c r="D12" s="93"/>
      <c r="E12" s="92"/>
      <c r="F12" s="93"/>
      <c r="G12" s="92"/>
      <c r="H12" s="93"/>
      <c r="I12" s="92"/>
      <c r="J12" s="93"/>
      <c r="K12" s="92"/>
      <c r="L12" s="93"/>
      <c r="M12" s="88"/>
      <c r="N12" s="92"/>
      <c r="O12" s="93"/>
      <c r="P12" s="92"/>
      <c r="Q12" s="93"/>
      <c r="R12" s="92"/>
      <c r="S12" s="93"/>
      <c r="T12" s="92"/>
      <c r="U12" s="93"/>
      <c r="V12" s="92"/>
      <c r="W12" s="93"/>
      <c r="X12" s="88"/>
      <c r="Y12" s="92"/>
      <c r="Z12" s="93"/>
      <c r="AA12" s="92"/>
      <c r="AB12" s="93"/>
      <c r="AC12" s="92"/>
      <c r="AD12" s="93"/>
      <c r="AE12" s="92"/>
      <c r="AF12" s="93"/>
      <c r="AG12" s="92"/>
      <c r="AH12" s="93"/>
    </row>
    <row r="13" spans="1:34" ht="15" hidden="1" x14ac:dyDescent="0.25">
      <c r="A13" s="231"/>
      <c r="B13" s="89"/>
      <c r="C13" s="92"/>
      <c r="D13" s="93"/>
      <c r="E13" s="92"/>
      <c r="F13" s="93"/>
      <c r="G13" s="92"/>
      <c r="H13" s="93"/>
      <c r="I13" s="92"/>
      <c r="J13" s="93"/>
      <c r="K13" s="92"/>
      <c r="L13" s="93"/>
      <c r="M13" s="88"/>
      <c r="N13" s="92"/>
      <c r="O13" s="93"/>
      <c r="P13" s="92"/>
      <c r="Q13" s="93"/>
      <c r="R13" s="92"/>
      <c r="S13" s="93"/>
      <c r="T13" s="92"/>
      <c r="U13" s="93"/>
      <c r="V13" s="92"/>
      <c r="W13" s="93"/>
      <c r="X13" s="88"/>
      <c r="Y13" s="92"/>
      <c r="Z13" s="93"/>
      <c r="AA13" s="92"/>
      <c r="AB13" s="93"/>
      <c r="AC13" s="92"/>
      <c r="AD13" s="93"/>
      <c r="AE13" s="92"/>
      <c r="AF13" s="93"/>
      <c r="AG13" s="92"/>
      <c r="AH13" s="93"/>
    </row>
    <row r="14" spans="1:34" ht="15" hidden="1" x14ac:dyDescent="0.25">
      <c r="A14" s="231"/>
      <c r="B14" s="94" t="s">
        <v>46</v>
      </c>
      <c r="C14" s="92">
        <f>'Plan Comparison Calculator'!$G$16*P1_In_Ov*0</f>
        <v>0</v>
      </c>
      <c r="D14" s="93"/>
      <c r="E14" s="92">
        <f>'Plan Comparison Calculator'!$G$16*Physical_Office-C14</f>
        <v>0</v>
      </c>
      <c r="F14" s="93"/>
      <c r="G14" s="92">
        <f>'Plan Comparison Calculator'!$G$16*Physical_XrayLab</f>
        <v>0</v>
      </c>
      <c r="H14" s="93"/>
      <c r="I14" s="92"/>
      <c r="J14" s="93"/>
      <c r="K14" s="92"/>
      <c r="L14" s="93"/>
      <c r="M14" s="88"/>
      <c r="N14" s="92">
        <f>'Plan Comparison Calculator'!$I$16*P1_In_Ov*0</f>
        <v>0</v>
      </c>
      <c r="O14" s="93"/>
      <c r="P14" s="92">
        <f>'Plan Comparison Calculator'!$I$16*Physical_Office-N14</f>
        <v>0</v>
      </c>
      <c r="Q14" s="93"/>
      <c r="R14" s="92">
        <f>'Plan Comparison Calculator'!$I$16*Physical_XrayLab</f>
        <v>0</v>
      </c>
      <c r="S14" s="93"/>
      <c r="T14" s="92"/>
      <c r="U14" s="93"/>
      <c r="V14" s="92"/>
      <c r="W14" s="93"/>
      <c r="X14" s="88"/>
      <c r="Y14" s="92">
        <f>'Plan Comparison Calculator'!$J$16*P1_In_Ov*0</f>
        <v>0</v>
      </c>
      <c r="Z14" s="93"/>
      <c r="AA14" s="92">
        <f>'Plan Comparison Calculator'!$J$16*Physical_Office-Y14</f>
        <v>0</v>
      </c>
      <c r="AB14" s="93"/>
      <c r="AC14" s="92">
        <f>'Plan Comparison Calculator'!$J$16*Physical_XrayLab</f>
        <v>0</v>
      </c>
      <c r="AD14" s="93"/>
      <c r="AE14" s="92"/>
      <c r="AF14" s="93"/>
      <c r="AG14" s="92"/>
      <c r="AH14" s="93"/>
    </row>
    <row r="15" spans="1:34" ht="15" hidden="1" x14ac:dyDescent="0.25">
      <c r="A15" s="231"/>
      <c r="B15" s="94"/>
      <c r="C15" s="92"/>
      <c r="D15" s="93"/>
      <c r="E15" s="92"/>
      <c r="F15" s="93"/>
      <c r="G15" s="92"/>
      <c r="H15" s="93"/>
      <c r="I15" s="92"/>
      <c r="J15" s="93"/>
      <c r="K15" s="92"/>
      <c r="L15" s="93"/>
      <c r="M15" s="88"/>
      <c r="N15" s="92"/>
      <c r="O15" s="93"/>
      <c r="P15" s="92"/>
      <c r="Q15" s="93"/>
      <c r="R15" s="92"/>
      <c r="S15" s="93"/>
      <c r="T15" s="92"/>
      <c r="U15" s="93"/>
      <c r="V15" s="92"/>
      <c r="W15" s="93"/>
      <c r="X15" s="88"/>
      <c r="Y15" s="92"/>
      <c r="Z15" s="93"/>
      <c r="AA15" s="92"/>
      <c r="AB15" s="93"/>
      <c r="AC15" s="92"/>
      <c r="AD15" s="93"/>
      <c r="AE15" s="92"/>
      <c r="AF15" s="93"/>
      <c r="AG15" s="92"/>
      <c r="AH15" s="93"/>
    </row>
    <row r="16" spans="1:34" ht="15" hidden="1" x14ac:dyDescent="0.25">
      <c r="A16" s="231"/>
      <c r="B16" s="94" t="s">
        <v>47</v>
      </c>
      <c r="C16" s="92">
        <f>'Plan Comparison Calculator'!$G$18*P1_In_Ov</f>
        <v>0</v>
      </c>
      <c r="D16" s="93"/>
      <c r="E16" s="92">
        <f>'Plan Comparison Calculator'!$G$18*Primary_Office-C16</f>
        <v>0</v>
      </c>
      <c r="F16" s="93"/>
      <c r="G16" s="92">
        <f>'Plan Comparison Calculator'!$G$18*Primary_XrayLab</f>
        <v>0</v>
      </c>
      <c r="H16" s="93"/>
      <c r="I16" s="92"/>
      <c r="J16" s="93"/>
      <c r="K16" s="92"/>
      <c r="L16" s="93"/>
      <c r="M16" s="88"/>
      <c r="N16" s="92">
        <f>'Plan Comparison Calculator'!$I$18*P1_In_Ov</f>
        <v>0</v>
      </c>
      <c r="O16" s="93"/>
      <c r="P16" s="92">
        <f>'Plan Comparison Calculator'!$I$18*Primary_Office-N16</f>
        <v>0</v>
      </c>
      <c r="Q16" s="93"/>
      <c r="R16" s="92">
        <f>'Plan Comparison Calculator'!$I$18*Primary_XrayLab</f>
        <v>0</v>
      </c>
      <c r="S16" s="93"/>
      <c r="T16" s="92"/>
      <c r="U16" s="93"/>
      <c r="V16" s="92"/>
      <c r="W16" s="93"/>
      <c r="X16" s="88"/>
      <c r="Y16" s="92">
        <f>'Plan Comparison Calculator'!$J$18*P1_In_Ov</f>
        <v>0</v>
      </c>
      <c r="Z16" s="93"/>
      <c r="AA16" s="92">
        <f>'Plan Comparison Calculator'!$J$18*Primary_Office-Y16</f>
        <v>0</v>
      </c>
      <c r="AB16" s="93"/>
      <c r="AC16" s="92">
        <f>'Plan Comparison Calculator'!$J$18*Primary_XrayLab</f>
        <v>0</v>
      </c>
      <c r="AD16" s="93"/>
      <c r="AE16" s="92"/>
      <c r="AF16" s="93"/>
      <c r="AG16" s="92"/>
      <c r="AH16" s="93"/>
    </row>
    <row r="17" spans="1:34" ht="15" hidden="1" x14ac:dyDescent="0.25">
      <c r="A17" s="231"/>
      <c r="B17" s="94"/>
      <c r="C17" s="92"/>
      <c r="D17" s="93"/>
      <c r="E17" s="92"/>
      <c r="F17" s="93"/>
      <c r="G17" s="92"/>
      <c r="H17" s="93"/>
      <c r="I17" s="92"/>
      <c r="J17" s="93"/>
      <c r="K17" s="92"/>
      <c r="L17" s="93"/>
      <c r="M17" s="88"/>
      <c r="N17" s="92"/>
      <c r="O17" s="93"/>
      <c r="P17" s="92"/>
      <c r="Q17" s="93"/>
      <c r="R17" s="92"/>
      <c r="S17" s="93"/>
      <c r="T17" s="92"/>
      <c r="U17" s="93"/>
      <c r="V17" s="92"/>
      <c r="W17" s="93"/>
      <c r="X17" s="88"/>
      <c r="Y17" s="92"/>
      <c r="Z17" s="93"/>
      <c r="AA17" s="92"/>
      <c r="AB17" s="93"/>
      <c r="AC17" s="92"/>
      <c r="AD17" s="93"/>
      <c r="AE17" s="92"/>
      <c r="AF17" s="93"/>
      <c r="AG17" s="92"/>
      <c r="AH17" s="93"/>
    </row>
    <row r="18" spans="1:34" ht="15" hidden="1" x14ac:dyDescent="0.25">
      <c r="A18" s="231"/>
      <c r="B18" s="94" t="s">
        <v>48</v>
      </c>
      <c r="C18" s="92">
        <f>'Plan Comparison Calculator'!$G$20*P1_In_Ov</f>
        <v>0</v>
      </c>
      <c r="D18" s="93"/>
      <c r="E18" s="92">
        <f>Specialist_Office*'Plan Comparison Calculator'!$G$20-C18</f>
        <v>0</v>
      </c>
      <c r="F18" s="93"/>
      <c r="G18" s="92">
        <f>Specialist_XrayLab*'Plan Comparison Calculator'!$G$20</f>
        <v>0</v>
      </c>
      <c r="H18" s="93"/>
      <c r="I18" s="92"/>
      <c r="J18" s="93"/>
      <c r="K18" s="92"/>
      <c r="L18" s="93"/>
      <c r="M18" s="88"/>
      <c r="N18" s="92">
        <f>'Plan Comparison Calculator'!$I$20*P1_In_Ov</f>
        <v>0</v>
      </c>
      <c r="O18" s="93"/>
      <c r="P18" s="92">
        <f>Specialist_Office*'Plan Comparison Calculator'!$I$20-N18</f>
        <v>0</v>
      </c>
      <c r="Q18" s="93"/>
      <c r="R18" s="92">
        <f>Specialist_XrayLab*'Plan Comparison Calculator'!$I$20</f>
        <v>0</v>
      </c>
      <c r="S18" s="93"/>
      <c r="T18" s="92"/>
      <c r="U18" s="93"/>
      <c r="V18" s="92"/>
      <c r="W18" s="93"/>
      <c r="X18" s="88"/>
      <c r="Y18" s="92">
        <f>'Plan Comparison Calculator'!$J$20*P1_In_Ov</f>
        <v>0</v>
      </c>
      <c r="Z18" s="93"/>
      <c r="AA18" s="92">
        <f>Specialist_Office*'Plan Comparison Calculator'!$J$20-Y18</f>
        <v>0</v>
      </c>
      <c r="AB18" s="93"/>
      <c r="AC18" s="92">
        <f>Specialist_XrayLab*'Plan Comparison Calculator'!$J$20</f>
        <v>0</v>
      </c>
      <c r="AD18" s="93"/>
      <c r="AE18" s="92"/>
      <c r="AF18" s="93"/>
      <c r="AG18" s="92"/>
      <c r="AH18" s="93"/>
    </row>
    <row r="19" spans="1:34" ht="15" hidden="1" x14ac:dyDescent="0.25">
      <c r="A19" s="231"/>
      <c r="B19" s="94"/>
      <c r="C19" s="92"/>
      <c r="D19" s="93"/>
      <c r="E19" s="92"/>
      <c r="F19" s="93"/>
      <c r="G19" s="92"/>
      <c r="H19" s="93"/>
      <c r="I19" s="92"/>
      <c r="J19" s="93"/>
      <c r="K19" s="92"/>
      <c r="L19" s="93"/>
      <c r="M19" s="88"/>
      <c r="N19" s="92"/>
      <c r="O19" s="93"/>
      <c r="P19" s="92"/>
      <c r="Q19" s="93"/>
      <c r="R19" s="92"/>
      <c r="S19" s="93"/>
      <c r="T19" s="92"/>
      <c r="U19" s="93"/>
      <c r="V19" s="92"/>
      <c r="W19" s="93"/>
      <c r="X19" s="88"/>
      <c r="Y19" s="92"/>
      <c r="Z19" s="93"/>
      <c r="AA19" s="92"/>
      <c r="AB19" s="93"/>
      <c r="AC19" s="92"/>
      <c r="AD19" s="93"/>
      <c r="AE19" s="92"/>
      <c r="AF19" s="93"/>
      <c r="AG19" s="92"/>
      <c r="AH19" s="93"/>
    </row>
    <row r="20" spans="1:34" ht="15" hidden="1" x14ac:dyDescent="0.25">
      <c r="A20" s="231"/>
      <c r="B20" s="94" t="s">
        <v>49</v>
      </c>
      <c r="C20" s="92">
        <f>'Plan Comparison Calculator'!$G$22*P1_In_ER</f>
        <v>0</v>
      </c>
      <c r="D20" s="93"/>
      <c r="E20" s="92"/>
      <c r="F20" s="93"/>
      <c r="G20" s="92"/>
      <c r="H20" s="93"/>
      <c r="I20" s="92">
        <f>ER*'Plan Comparison Calculator'!$G$22-C20</f>
        <v>0</v>
      </c>
      <c r="J20" s="93"/>
      <c r="K20" s="92"/>
      <c r="L20" s="93"/>
      <c r="M20" s="88"/>
      <c r="N20" s="92">
        <f>'Plan Comparison Calculator'!$I$22*P1_In_ER</f>
        <v>0</v>
      </c>
      <c r="O20" s="93"/>
      <c r="P20" s="92"/>
      <c r="Q20" s="93"/>
      <c r="R20" s="92"/>
      <c r="S20" s="93"/>
      <c r="T20" s="92">
        <f>ER*'Plan Comparison Calculator'!$I$22-N20</f>
        <v>0</v>
      </c>
      <c r="U20" s="93"/>
      <c r="V20" s="92"/>
      <c r="W20" s="93"/>
      <c r="X20" s="88"/>
      <c r="Y20" s="92">
        <f>'Plan Comparison Calculator'!$J$22*P1_In_ER</f>
        <v>0</v>
      </c>
      <c r="Z20" s="93"/>
      <c r="AA20" s="92"/>
      <c r="AB20" s="93"/>
      <c r="AC20" s="92"/>
      <c r="AD20" s="93"/>
      <c r="AE20" s="92">
        <f>ER*'Plan Comparison Calculator'!$J$22-Y20</f>
        <v>0</v>
      </c>
      <c r="AF20" s="93"/>
      <c r="AG20" s="92"/>
      <c r="AH20" s="93"/>
    </row>
    <row r="21" spans="1:34" ht="15" hidden="1" x14ac:dyDescent="0.25">
      <c r="A21" s="231"/>
      <c r="B21" s="94"/>
      <c r="C21" s="92"/>
      <c r="D21" s="93"/>
      <c r="E21" s="92"/>
      <c r="F21" s="93"/>
      <c r="G21" s="92"/>
      <c r="H21" s="93"/>
      <c r="I21" s="92"/>
      <c r="J21" s="93"/>
      <c r="K21" s="92"/>
      <c r="L21" s="93"/>
      <c r="M21" s="88"/>
      <c r="N21" s="92"/>
      <c r="O21" s="93"/>
      <c r="P21" s="92"/>
      <c r="Q21" s="93"/>
      <c r="R21" s="92"/>
      <c r="S21" s="93"/>
      <c r="T21" s="92"/>
      <c r="U21" s="93"/>
      <c r="V21" s="92"/>
      <c r="W21" s="93"/>
      <c r="X21" s="88"/>
      <c r="Y21" s="92"/>
      <c r="Z21" s="93"/>
      <c r="AA21" s="92"/>
      <c r="AB21" s="93"/>
      <c r="AC21" s="92"/>
      <c r="AD21" s="93"/>
      <c r="AE21" s="92"/>
      <c r="AF21" s="93"/>
      <c r="AG21" s="92"/>
      <c r="AH21" s="93"/>
    </row>
    <row r="22" spans="1:34" ht="15" hidden="1" x14ac:dyDescent="0.25">
      <c r="A22" s="231"/>
      <c r="B22" s="94" t="s">
        <v>50</v>
      </c>
      <c r="C22" s="92"/>
      <c r="D22" s="93"/>
      <c r="E22" s="92"/>
      <c r="F22" s="93"/>
      <c r="G22" s="92">
        <f>Lab*'Plan Comparison Calculator'!$G$24</f>
        <v>0</v>
      </c>
      <c r="H22" s="93"/>
      <c r="I22" s="92"/>
      <c r="J22" s="93"/>
      <c r="K22" s="92"/>
      <c r="L22" s="93"/>
      <c r="M22" s="88"/>
      <c r="N22" s="92"/>
      <c r="O22" s="93"/>
      <c r="P22" s="92"/>
      <c r="Q22" s="93"/>
      <c r="R22" s="92">
        <f>Lab*'Plan Comparison Calculator'!$I$24</f>
        <v>0</v>
      </c>
      <c r="S22" s="93"/>
      <c r="T22" s="92"/>
      <c r="U22" s="93"/>
      <c r="V22" s="92"/>
      <c r="W22" s="93"/>
      <c r="X22" s="88"/>
      <c r="Y22" s="92"/>
      <c r="Z22" s="93"/>
      <c r="AA22" s="92"/>
      <c r="AB22" s="93"/>
      <c r="AC22" s="92">
        <f>Lab*'Plan Comparison Calculator'!$J$24</f>
        <v>0</v>
      </c>
      <c r="AD22" s="93"/>
      <c r="AE22" s="92"/>
      <c r="AF22" s="93"/>
      <c r="AG22" s="92"/>
      <c r="AH22" s="93"/>
    </row>
    <row r="23" spans="1:34" ht="15" hidden="1" x14ac:dyDescent="0.25">
      <c r="A23" s="231"/>
      <c r="B23" s="94"/>
      <c r="C23" s="92"/>
      <c r="D23" s="93"/>
      <c r="E23" s="92"/>
      <c r="F23" s="93"/>
      <c r="G23" s="92"/>
      <c r="H23" s="93"/>
      <c r="I23" s="92"/>
      <c r="J23" s="93"/>
      <c r="K23" s="92"/>
      <c r="L23" s="93"/>
      <c r="M23" s="88"/>
      <c r="N23" s="92"/>
      <c r="O23" s="93"/>
      <c r="P23" s="92"/>
      <c r="Q23" s="93"/>
      <c r="R23" s="92"/>
      <c r="S23" s="93"/>
      <c r="T23" s="92"/>
      <c r="U23" s="93"/>
      <c r="V23" s="92"/>
      <c r="W23" s="93"/>
      <c r="X23" s="88"/>
      <c r="Y23" s="92"/>
      <c r="Z23" s="93"/>
      <c r="AA23" s="92"/>
      <c r="AB23" s="93"/>
      <c r="AC23" s="92"/>
      <c r="AD23" s="93"/>
      <c r="AE23" s="92"/>
      <c r="AF23" s="93"/>
      <c r="AG23" s="92"/>
      <c r="AH23" s="93"/>
    </row>
    <row r="24" spans="1:34" ht="15" hidden="1" x14ac:dyDescent="0.25">
      <c r="A24" s="231"/>
      <c r="B24" s="94" t="s">
        <v>51</v>
      </c>
      <c r="C24" s="92"/>
      <c r="D24" s="93"/>
      <c r="E24" s="92"/>
      <c r="F24" s="93"/>
      <c r="G24" s="92">
        <f>Xray*'Plan Comparison Calculator'!$G$26</f>
        <v>0</v>
      </c>
      <c r="H24" s="93"/>
      <c r="I24" s="92"/>
      <c r="J24" s="93"/>
      <c r="K24" s="92"/>
      <c r="L24" s="93"/>
      <c r="M24" s="88"/>
      <c r="N24" s="92"/>
      <c r="O24" s="93"/>
      <c r="P24" s="92"/>
      <c r="Q24" s="93"/>
      <c r="R24" s="92">
        <f>Xray*'Plan Comparison Calculator'!$I$26</f>
        <v>0</v>
      </c>
      <c r="S24" s="93"/>
      <c r="T24" s="92"/>
      <c r="U24" s="93"/>
      <c r="V24" s="92"/>
      <c r="W24" s="93"/>
      <c r="X24" s="88"/>
      <c r="Y24" s="92"/>
      <c r="Z24" s="93"/>
      <c r="AA24" s="92"/>
      <c r="AB24" s="93"/>
      <c r="AC24" s="92">
        <f>Xray*'Plan Comparison Calculator'!$J$26</f>
        <v>0</v>
      </c>
      <c r="AD24" s="93"/>
      <c r="AE24" s="92"/>
      <c r="AF24" s="93"/>
      <c r="AG24" s="92"/>
      <c r="AH24" s="93"/>
    </row>
    <row r="25" spans="1:34" ht="15" hidden="1" x14ac:dyDescent="0.25">
      <c r="A25" s="231"/>
      <c r="B25" s="94"/>
      <c r="C25" s="92"/>
      <c r="D25" s="93"/>
      <c r="E25" s="92"/>
      <c r="F25" s="93"/>
      <c r="G25" s="92"/>
      <c r="H25" s="93"/>
      <c r="I25" s="92"/>
      <c r="J25" s="93"/>
      <c r="K25" s="92"/>
      <c r="L25" s="93"/>
      <c r="M25" s="88"/>
      <c r="N25" s="92"/>
      <c r="O25" s="93"/>
      <c r="P25" s="92"/>
      <c r="Q25" s="93"/>
      <c r="R25" s="92"/>
      <c r="S25" s="93"/>
      <c r="T25" s="92"/>
      <c r="U25" s="93"/>
      <c r="V25" s="92"/>
      <c r="W25" s="93"/>
      <c r="X25" s="88"/>
      <c r="Y25" s="92"/>
      <c r="Z25" s="93"/>
      <c r="AA25" s="92"/>
      <c r="AB25" s="93"/>
      <c r="AC25" s="92"/>
      <c r="AD25" s="93"/>
      <c r="AE25" s="92"/>
      <c r="AF25" s="93"/>
      <c r="AG25" s="92"/>
      <c r="AH25" s="93"/>
    </row>
    <row r="26" spans="1:34" ht="15" hidden="1" x14ac:dyDescent="0.25">
      <c r="A26" s="231"/>
      <c r="B26" s="94" t="s">
        <v>52</v>
      </c>
      <c r="C26" s="92"/>
      <c r="D26" s="93"/>
      <c r="E26" s="92"/>
      <c r="F26" s="93"/>
      <c r="G26" s="92">
        <f>CatScan*'Plan Comparison Calculator'!$G$28</f>
        <v>0</v>
      </c>
      <c r="H26" s="93"/>
      <c r="I26" s="92"/>
      <c r="J26" s="93"/>
      <c r="K26" s="92"/>
      <c r="L26" s="93"/>
      <c r="M26" s="88"/>
      <c r="N26" s="92"/>
      <c r="O26" s="93"/>
      <c r="P26" s="92"/>
      <c r="Q26" s="93"/>
      <c r="R26" s="92">
        <f>CatScan*'Plan Comparison Calculator'!$I$28</f>
        <v>0</v>
      </c>
      <c r="S26" s="93"/>
      <c r="T26" s="92"/>
      <c r="U26" s="93"/>
      <c r="V26" s="92"/>
      <c r="W26" s="93"/>
      <c r="X26" s="88"/>
      <c r="Y26" s="92"/>
      <c r="Z26" s="93"/>
      <c r="AA26" s="92"/>
      <c r="AB26" s="93"/>
      <c r="AC26" s="92">
        <f>CatScan*'Plan Comparison Calculator'!$J$28</f>
        <v>0</v>
      </c>
      <c r="AD26" s="93"/>
      <c r="AE26" s="92"/>
      <c r="AF26" s="93"/>
      <c r="AG26" s="92"/>
      <c r="AH26" s="93"/>
    </row>
    <row r="27" spans="1:34" ht="15" hidden="1" x14ac:dyDescent="0.25">
      <c r="A27" s="231"/>
      <c r="B27" s="94"/>
      <c r="C27" s="92"/>
      <c r="D27" s="93"/>
      <c r="E27" s="92"/>
      <c r="F27" s="93"/>
      <c r="G27" s="92"/>
      <c r="H27" s="93"/>
      <c r="I27" s="92"/>
      <c r="J27" s="93"/>
      <c r="K27" s="92"/>
      <c r="L27" s="93"/>
      <c r="M27" s="88"/>
      <c r="N27" s="92"/>
      <c r="O27" s="93"/>
      <c r="P27" s="92"/>
      <c r="Q27" s="93"/>
      <c r="R27" s="92"/>
      <c r="S27" s="93"/>
      <c r="T27" s="92"/>
      <c r="U27" s="93"/>
      <c r="V27" s="92"/>
      <c r="W27" s="93"/>
      <c r="X27" s="88"/>
      <c r="Y27" s="92"/>
      <c r="Z27" s="93"/>
      <c r="AA27" s="92"/>
      <c r="AB27" s="93"/>
      <c r="AC27" s="92"/>
      <c r="AD27" s="93"/>
      <c r="AE27" s="92"/>
      <c r="AF27" s="93"/>
      <c r="AG27" s="92"/>
      <c r="AH27" s="93"/>
    </row>
    <row r="28" spans="1:34" ht="15" hidden="1" x14ac:dyDescent="0.25">
      <c r="A28" s="231"/>
      <c r="B28" s="94" t="s">
        <v>53</v>
      </c>
      <c r="C28" s="92">
        <f>'Plan Comparison Calculator'!$G$30*P1_In_OP_Surgery_Copay</f>
        <v>0</v>
      </c>
      <c r="D28" s="93"/>
      <c r="E28" s="92"/>
      <c r="F28" s="93"/>
      <c r="G28" s="92"/>
      <c r="H28" s="93"/>
      <c r="I28" s="92">
        <f>Surgery_Facility*'Plan Comparison Calculator'!$G$30-C28</f>
        <v>0</v>
      </c>
      <c r="J28" s="93"/>
      <c r="K28" s="92">
        <f>Surgery_Physician*'Plan Comparison Calculator'!$G$30</f>
        <v>0</v>
      </c>
      <c r="L28" s="93"/>
      <c r="M28" s="88"/>
      <c r="N28" s="92">
        <f>'Plan Comparison Calculator'!$I$30*P1_In_OP_Surgery_Copay</f>
        <v>0</v>
      </c>
      <c r="O28" s="93"/>
      <c r="P28" s="92"/>
      <c r="Q28" s="93"/>
      <c r="R28" s="92"/>
      <c r="S28" s="93"/>
      <c r="T28" s="92">
        <f>Surgery_Facility*'Plan Comparison Calculator'!$I$30-N28</f>
        <v>0</v>
      </c>
      <c r="U28" s="93"/>
      <c r="V28" s="92">
        <f>Surgery_Physician*'Plan Comparison Calculator'!$I$30</f>
        <v>0</v>
      </c>
      <c r="W28" s="93"/>
      <c r="X28" s="88"/>
      <c r="Y28" s="92">
        <f>'Plan Comparison Calculator'!$J$30*P1_In_OP_Surgery_Copay</f>
        <v>0</v>
      </c>
      <c r="Z28" s="93"/>
      <c r="AA28" s="92"/>
      <c r="AB28" s="93"/>
      <c r="AC28" s="92"/>
      <c r="AD28" s="93"/>
      <c r="AE28" s="92">
        <f>Surgery_Facility*'Plan Comparison Calculator'!$J$30-Y28</f>
        <v>0</v>
      </c>
      <c r="AF28" s="93"/>
      <c r="AG28" s="92">
        <f>Surgery_Physician*'Plan Comparison Calculator'!$J$30</f>
        <v>0</v>
      </c>
      <c r="AH28" s="93"/>
    </row>
    <row r="29" spans="1:34" ht="15" hidden="1" x14ac:dyDescent="0.25">
      <c r="A29" s="231"/>
      <c r="B29" s="94"/>
      <c r="C29" s="90"/>
      <c r="D29" s="91"/>
      <c r="E29" s="90"/>
      <c r="F29" s="91"/>
      <c r="G29" s="90"/>
      <c r="H29" s="91"/>
      <c r="I29" s="90"/>
      <c r="J29" s="91"/>
      <c r="K29" s="90"/>
      <c r="L29" s="91"/>
      <c r="M29" s="88"/>
      <c r="N29" s="90"/>
      <c r="O29" s="91"/>
      <c r="P29" s="90"/>
      <c r="Q29" s="91"/>
      <c r="R29" s="90"/>
      <c r="S29" s="91"/>
      <c r="T29" s="90"/>
      <c r="U29" s="91"/>
      <c r="V29" s="90"/>
      <c r="W29" s="91"/>
      <c r="X29" s="88"/>
      <c r="Y29" s="90"/>
      <c r="Z29" s="91"/>
      <c r="AA29" s="90"/>
      <c r="AB29" s="91"/>
      <c r="AC29" s="90"/>
      <c r="AD29" s="91"/>
      <c r="AE29" s="90"/>
      <c r="AF29" s="91"/>
      <c r="AG29" s="90"/>
      <c r="AH29" s="91"/>
    </row>
    <row r="30" spans="1:34" ht="15" hidden="1" x14ac:dyDescent="0.25">
      <c r="A30" s="231"/>
      <c r="B30" s="94" t="s">
        <v>54</v>
      </c>
      <c r="C30" s="92">
        <f>'Plan Comparison Calculator'!$G$32*P1_In_IP_Hosp_Copay</f>
        <v>0</v>
      </c>
      <c r="D30" s="93"/>
      <c r="E30" s="90"/>
      <c r="F30" s="91"/>
      <c r="G30" s="92">
        <f>IP_XrayLab*'Plan Comparison Calculator'!$G$32</f>
        <v>0</v>
      </c>
      <c r="H30" s="93"/>
      <c r="I30" s="92">
        <f>IP_Facility*'Plan Comparison Calculator'!$G$32-C30</f>
        <v>0</v>
      </c>
      <c r="J30" s="93"/>
      <c r="K30" s="92">
        <f>IP_Physician*'Plan Comparison Calculator'!$G$32</f>
        <v>0</v>
      </c>
      <c r="L30" s="93"/>
      <c r="M30" s="88"/>
      <c r="N30" s="92">
        <f>'Plan Comparison Calculator'!$I$32*P1_In_IP_Hosp_Copay</f>
        <v>0</v>
      </c>
      <c r="O30" s="93"/>
      <c r="P30" s="90"/>
      <c r="Q30" s="91"/>
      <c r="R30" s="92">
        <f>IP_XrayLab*'Plan Comparison Calculator'!$I$32</f>
        <v>0</v>
      </c>
      <c r="S30" s="93"/>
      <c r="T30" s="92">
        <f>IP_Facility*'Plan Comparison Calculator'!$I$32-N30</f>
        <v>0</v>
      </c>
      <c r="U30" s="93"/>
      <c r="V30" s="92">
        <f>IP_Physician*'Plan Comparison Calculator'!$I$32</f>
        <v>0</v>
      </c>
      <c r="W30" s="93"/>
      <c r="X30" s="88"/>
      <c r="Y30" s="92">
        <f>'Plan Comparison Calculator'!$J$32*P1_In_IP_Hosp_Copay</f>
        <v>0</v>
      </c>
      <c r="Z30" s="93"/>
      <c r="AA30" s="90"/>
      <c r="AB30" s="91"/>
      <c r="AC30" s="92">
        <f>IP_XrayLab*'Plan Comparison Calculator'!$J$32</f>
        <v>0</v>
      </c>
      <c r="AD30" s="93"/>
      <c r="AE30" s="92">
        <f>IP_Facility*'Plan Comparison Calculator'!$J$32-Y30</f>
        <v>0</v>
      </c>
      <c r="AF30" s="93"/>
      <c r="AG30" s="92">
        <f>IP_Physician*'Plan Comparison Calculator'!$J$32</f>
        <v>0</v>
      </c>
      <c r="AH30" s="93"/>
    </row>
    <row r="31" spans="1:34" ht="15" hidden="1" x14ac:dyDescent="0.25">
      <c r="A31" s="231"/>
      <c r="B31" s="86"/>
      <c r="C31" s="90"/>
      <c r="D31" s="91"/>
      <c r="E31" s="90"/>
      <c r="F31" s="91"/>
      <c r="G31" s="90"/>
      <c r="H31" s="91"/>
      <c r="I31" s="90"/>
      <c r="J31" s="91"/>
      <c r="K31" s="90"/>
      <c r="L31" s="91"/>
      <c r="M31" s="88"/>
      <c r="N31" s="90"/>
      <c r="O31" s="91"/>
      <c r="P31" s="90"/>
      <c r="Q31" s="91"/>
      <c r="R31" s="90"/>
      <c r="S31" s="91"/>
      <c r="T31" s="90"/>
      <c r="U31" s="91"/>
      <c r="V31" s="90"/>
      <c r="W31" s="91"/>
      <c r="X31" s="88"/>
      <c r="Y31" s="90"/>
      <c r="Z31" s="91"/>
      <c r="AA31" s="90"/>
      <c r="AB31" s="91"/>
      <c r="AC31" s="90"/>
      <c r="AD31" s="91"/>
      <c r="AE31" s="90"/>
      <c r="AF31" s="91"/>
      <c r="AG31" s="90"/>
      <c r="AH31" s="91"/>
    </row>
    <row r="32" spans="1:34" ht="15" hidden="1" x14ac:dyDescent="0.25">
      <c r="A32" s="231"/>
      <c r="B32" s="86"/>
      <c r="C32" s="90"/>
      <c r="D32" s="91"/>
      <c r="E32" s="90"/>
      <c r="F32" s="91"/>
      <c r="G32" s="90"/>
      <c r="H32" s="91"/>
      <c r="I32" s="90"/>
      <c r="J32" s="91"/>
      <c r="K32" s="90"/>
      <c r="L32" s="91"/>
      <c r="M32" s="88"/>
      <c r="N32" s="90"/>
      <c r="O32" s="91"/>
      <c r="P32" s="90"/>
      <c r="Q32" s="91"/>
      <c r="R32" s="90"/>
      <c r="S32" s="91"/>
      <c r="T32" s="90"/>
      <c r="U32" s="91"/>
      <c r="V32" s="90"/>
      <c r="W32" s="91"/>
      <c r="X32" s="88"/>
      <c r="Y32" s="90"/>
      <c r="Z32" s="91"/>
      <c r="AA32" s="90"/>
      <c r="AB32" s="91"/>
      <c r="AC32" s="90"/>
      <c r="AD32" s="91"/>
      <c r="AE32" s="90"/>
      <c r="AF32" s="91"/>
      <c r="AG32" s="90"/>
      <c r="AH32" s="91"/>
    </row>
    <row r="33" spans="1:34" ht="15" hidden="1" x14ac:dyDescent="0.25">
      <c r="A33" s="231"/>
      <c r="B33" s="86"/>
      <c r="C33" s="90"/>
      <c r="D33" s="91"/>
      <c r="E33" s="90"/>
      <c r="F33" s="91"/>
      <c r="G33" s="90"/>
      <c r="H33" s="91"/>
      <c r="I33" s="90"/>
      <c r="J33" s="91"/>
      <c r="K33" s="90"/>
      <c r="L33" s="91"/>
      <c r="M33" s="88"/>
      <c r="N33" s="90"/>
      <c r="O33" s="91"/>
      <c r="P33" s="90"/>
      <c r="Q33" s="91"/>
      <c r="R33" s="90"/>
      <c r="S33" s="91"/>
      <c r="T33" s="90"/>
      <c r="U33" s="91"/>
      <c r="V33" s="90"/>
      <c r="W33" s="91"/>
      <c r="X33" s="88"/>
      <c r="Y33" s="90"/>
      <c r="Z33" s="91"/>
      <c r="AA33" s="90"/>
      <c r="AB33" s="91"/>
      <c r="AC33" s="90"/>
      <c r="AD33" s="91"/>
      <c r="AE33" s="90"/>
      <c r="AF33" s="91"/>
      <c r="AG33" s="90"/>
      <c r="AH33" s="91"/>
    </row>
    <row r="34" spans="1:34" ht="15" hidden="1" x14ac:dyDescent="0.25">
      <c r="A34" s="231"/>
      <c r="B34" s="86"/>
      <c r="C34" s="90">
        <f>SUM(C14:C30,C8)</f>
        <v>0</v>
      </c>
      <c r="D34" s="91"/>
      <c r="E34" s="90">
        <f>SUM(E16:E30,E8)</f>
        <v>0</v>
      </c>
      <c r="F34" s="91"/>
      <c r="G34" s="90">
        <f>MAX(SUM(G8:G26)-P1_In_LabMax,0)+SUM(G29:G30)</f>
        <v>0</v>
      </c>
      <c r="H34" s="91"/>
      <c r="I34" s="90">
        <f>SUM(I16:I30,I8)</f>
        <v>0</v>
      </c>
      <c r="J34" s="91"/>
      <c r="K34" s="90">
        <f>SUM(K16:K30,K8)</f>
        <v>0</v>
      </c>
      <c r="L34" s="91"/>
      <c r="M34" s="88"/>
      <c r="N34" s="90">
        <f>SUM(N14:N30,N8)</f>
        <v>0</v>
      </c>
      <c r="O34" s="91"/>
      <c r="P34" s="90">
        <f>SUM(P16:P30,P8)</f>
        <v>0</v>
      </c>
      <c r="Q34" s="91"/>
      <c r="R34" s="90">
        <f>MAX(SUM(R8:R26)-P1_In_LabMax,0)+SUM(R29:R30)</f>
        <v>0</v>
      </c>
      <c r="S34" s="91"/>
      <c r="T34" s="90">
        <f>SUM(T16:T30,T8)</f>
        <v>0</v>
      </c>
      <c r="U34" s="91"/>
      <c r="V34" s="90">
        <f>SUM(V16:V30,V8)</f>
        <v>0</v>
      </c>
      <c r="W34" s="91"/>
      <c r="X34" s="88"/>
      <c r="Y34" s="90">
        <f>SUM(Y14:Y30,Y8)</f>
        <v>0</v>
      </c>
      <c r="Z34" s="91"/>
      <c r="AA34" s="90">
        <f>SUM(AA16:AA30,AA8)</f>
        <v>0</v>
      </c>
      <c r="AB34" s="91"/>
      <c r="AC34" s="90">
        <f>MAX(SUM(AC8:AC26)-P1_In_LabMax,0)+SUM(AC29:AC30)</f>
        <v>0</v>
      </c>
      <c r="AD34" s="91"/>
      <c r="AE34" s="90">
        <f>SUM(AE16:AE30,AE8)</f>
        <v>0</v>
      </c>
      <c r="AF34" s="91"/>
      <c r="AG34" s="90">
        <f>SUM(AG16:AG30,AG8)</f>
        <v>0</v>
      </c>
      <c r="AH34" s="91"/>
    </row>
    <row r="35" spans="1:34" ht="14.25" hidden="1" x14ac:dyDescent="0.2">
      <c r="A35" s="231"/>
      <c r="B35" s="86"/>
      <c r="C35" s="87"/>
      <c r="D35" s="87"/>
      <c r="E35" s="87"/>
      <c r="F35" s="87"/>
      <c r="G35" s="87"/>
      <c r="H35" s="87"/>
      <c r="I35" s="87"/>
      <c r="J35" s="87"/>
      <c r="K35" s="87"/>
      <c r="L35" s="87"/>
      <c r="M35" s="88"/>
      <c r="N35" s="87"/>
      <c r="O35" s="87"/>
      <c r="P35" s="87"/>
      <c r="Q35" s="87"/>
      <c r="R35" s="87"/>
      <c r="S35" s="87"/>
      <c r="T35" s="87"/>
      <c r="U35" s="87"/>
      <c r="V35" s="87"/>
      <c r="W35" s="87"/>
      <c r="X35" s="88"/>
      <c r="Y35" s="87"/>
      <c r="Z35" s="87"/>
      <c r="AA35" s="87"/>
      <c r="AB35" s="87"/>
      <c r="AC35" s="87"/>
    </row>
    <row r="36" spans="1:34" ht="15" hidden="1" x14ac:dyDescent="0.25">
      <c r="A36" s="231"/>
      <c r="B36" s="86"/>
      <c r="C36" s="95" t="s">
        <v>55</v>
      </c>
      <c r="D36" s="87"/>
      <c r="E36" s="87"/>
      <c r="F36" s="87"/>
      <c r="G36" s="87"/>
      <c r="H36" s="87"/>
      <c r="I36" s="87"/>
      <c r="J36" s="87"/>
      <c r="K36" s="87"/>
      <c r="L36" s="87"/>
      <c r="M36" s="88"/>
      <c r="N36" s="87"/>
      <c r="O36" s="87"/>
      <c r="P36" s="87"/>
      <c r="Q36" s="87"/>
      <c r="R36" s="87"/>
      <c r="S36" s="87"/>
      <c r="T36" s="87"/>
      <c r="U36" s="87"/>
      <c r="V36" s="87"/>
      <c r="W36" s="87"/>
      <c r="X36" s="88"/>
      <c r="Y36" s="87"/>
      <c r="Z36" s="87"/>
      <c r="AA36" s="87"/>
      <c r="AB36" s="87"/>
      <c r="AC36" s="87"/>
    </row>
    <row r="37" spans="1:34" ht="14.25" hidden="1" x14ac:dyDescent="0.2">
      <c r="B37" s="86"/>
      <c r="C37" s="96">
        <f>P1_In_Rx1*'Plan Comparison Calculator'!$F$38+P1_Out_Rx1*'Plan Comparison Calculator'!$K$38</f>
        <v>0</v>
      </c>
      <c r="D37" s="96"/>
      <c r="E37" s="87"/>
      <c r="F37" s="87"/>
      <c r="G37" s="87"/>
      <c r="H37" s="87"/>
      <c r="I37" s="87"/>
      <c r="J37" s="87"/>
      <c r="K37" s="87"/>
      <c r="L37" s="87"/>
      <c r="M37" s="88"/>
      <c r="N37" s="96"/>
      <c r="O37" s="96"/>
      <c r="P37" s="87"/>
      <c r="Q37" s="87"/>
      <c r="R37" s="87"/>
      <c r="S37" s="87"/>
      <c r="T37" s="87"/>
      <c r="U37" s="87"/>
      <c r="V37" s="87"/>
      <c r="W37" s="87"/>
      <c r="X37" s="88"/>
      <c r="Y37" s="96"/>
      <c r="Z37" s="87"/>
      <c r="AA37" s="87"/>
      <c r="AB37" s="87"/>
      <c r="AC37" s="87"/>
    </row>
    <row r="38" spans="1:34" ht="14.25" hidden="1" x14ac:dyDescent="0.2">
      <c r="B38" s="86"/>
      <c r="C38" s="96">
        <f>P1_In_Rx2*'Plan Comparison Calculator'!$F$39+P1_Out_Rx2*'Plan Comparison Calculator'!$K$39</f>
        <v>0</v>
      </c>
      <c r="D38" s="96"/>
      <c r="E38" s="87"/>
      <c r="F38" s="87"/>
      <c r="G38" s="87"/>
      <c r="H38" s="87"/>
      <c r="I38" s="87"/>
      <c r="J38" s="87"/>
      <c r="K38" s="87"/>
      <c r="L38" s="87"/>
      <c r="M38" s="88"/>
      <c r="N38" s="96"/>
      <c r="O38" s="96"/>
      <c r="P38" s="87"/>
      <c r="Q38" s="87"/>
      <c r="R38" s="87"/>
      <c r="S38" s="87"/>
      <c r="T38" s="87"/>
      <c r="U38" s="87"/>
      <c r="V38" s="87"/>
      <c r="W38" s="87"/>
      <c r="X38" s="88"/>
      <c r="Y38" s="96"/>
      <c r="Z38" s="87"/>
      <c r="AA38" s="87"/>
      <c r="AB38" s="87"/>
      <c r="AC38" s="87"/>
    </row>
    <row r="39" spans="1:34" ht="14.25" hidden="1" x14ac:dyDescent="0.2">
      <c r="B39" s="86"/>
      <c r="C39" s="96">
        <f>P1_In_Rx3*'Plan Comparison Calculator'!$F$40+P1_Out_Rx3*'Plan Comparison Calculator'!$K$40</f>
        <v>0</v>
      </c>
      <c r="D39" s="96"/>
      <c r="E39" s="87"/>
      <c r="F39" s="87"/>
      <c r="G39" s="87"/>
      <c r="H39" s="87"/>
      <c r="I39" s="87"/>
      <c r="J39" s="87"/>
      <c r="K39" s="87"/>
      <c r="L39" s="87"/>
      <c r="M39" s="88"/>
      <c r="N39" s="96"/>
      <c r="O39" s="96"/>
      <c r="P39" s="87"/>
      <c r="Q39" s="87"/>
      <c r="R39" s="87"/>
      <c r="S39" s="87"/>
      <c r="T39" s="87"/>
      <c r="U39" s="87"/>
      <c r="V39" s="87"/>
      <c r="W39" s="87"/>
      <c r="X39" s="88"/>
      <c r="Y39" s="96"/>
      <c r="Z39" s="87"/>
      <c r="AA39" s="87"/>
      <c r="AB39" s="87"/>
      <c r="AC39" s="87"/>
    </row>
    <row r="40" spans="1:34" ht="14.25" hidden="1" x14ac:dyDescent="0.2">
      <c r="B40" s="86"/>
      <c r="C40" s="87"/>
      <c r="D40" s="87"/>
      <c r="E40" s="87"/>
      <c r="F40" s="87"/>
      <c r="G40" s="87"/>
      <c r="H40" s="87"/>
      <c r="I40" s="87"/>
      <c r="J40" s="87"/>
      <c r="K40" s="87"/>
      <c r="L40" s="87"/>
      <c r="M40" s="88"/>
      <c r="N40" s="97"/>
      <c r="O40" s="97"/>
      <c r="P40" s="97"/>
      <c r="Q40" s="97"/>
      <c r="R40" s="97"/>
      <c r="S40" s="97"/>
      <c r="T40" s="97"/>
      <c r="U40" s="97"/>
      <c r="V40" s="97"/>
      <c r="W40" s="97"/>
      <c r="X40" s="88"/>
      <c r="Y40" s="97"/>
      <c r="Z40" s="97"/>
      <c r="AA40" s="97"/>
      <c r="AB40" s="97"/>
      <c r="AC40" s="97"/>
    </row>
    <row r="41" spans="1:34" ht="15.75" hidden="1" x14ac:dyDescent="0.25">
      <c r="B41" s="83"/>
      <c r="C41" s="98">
        <f>SUM(C37:C39)</f>
        <v>0</v>
      </c>
      <c r="D41" s="99"/>
      <c r="E41" s="100" t="s">
        <v>56</v>
      </c>
      <c r="F41" s="100"/>
      <c r="G41" s="101"/>
      <c r="H41" s="101"/>
      <c r="I41" s="101"/>
      <c r="J41" s="101"/>
      <c r="K41" s="101"/>
      <c r="L41" s="101"/>
      <c r="M41" s="85"/>
      <c r="N41" s="102"/>
      <c r="O41" s="102"/>
      <c r="P41" s="102"/>
      <c r="Q41" s="102"/>
      <c r="R41" s="102"/>
      <c r="S41" s="102"/>
      <c r="T41" s="102"/>
      <c r="U41" s="102"/>
      <c r="V41" s="102"/>
      <c r="W41" s="102"/>
      <c r="X41" s="85"/>
      <c r="Y41" s="102"/>
      <c r="Z41" s="102"/>
      <c r="AA41" s="102"/>
      <c r="AB41" s="102"/>
      <c r="AC41" s="102"/>
    </row>
    <row r="42" spans="1:34" ht="14.25" hidden="1" x14ac:dyDescent="0.2">
      <c r="B42" s="86"/>
      <c r="C42" s="87"/>
      <c r="D42" s="87"/>
      <c r="E42" s="87"/>
      <c r="F42" s="87"/>
      <c r="G42" s="87"/>
      <c r="H42" s="87"/>
      <c r="I42" s="87"/>
      <c r="J42" s="87"/>
      <c r="K42" s="87"/>
      <c r="L42" s="87"/>
      <c r="M42" s="88"/>
      <c r="N42" s="97"/>
      <c r="O42" s="97"/>
      <c r="P42" s="97"/>
      <c r="Q42" s="97"/>
      <c r="R42" s="97"/>
      <c r="S42" s="97"/>
      <c r="T42" s="97"/>
      <c r="U42" s="97"/>
      <c r="V42" s="97"/>
      <c r="W42" s="97"/>
      <c r="X42" s="88"/>
      <c r="Y42" s="97"/>
      <c r="Z42" s="97"/>
      <c r="AA42" s="97"/>
      <c r="AB42" s="97"/>
      <c r="AC42" s="97"/>
    </row>
    <row r="43" spans="1:34" ht="14.25" hidden="1" x14ac:dyDescent="0.2">
      <c r="B43" s="86"/>
      <c r="C43" s="87"/>
      <c r="D43" s="87"/>
      <c r="E43" s="87"/>
      <c r="F43" s="87"/>
      <c r="G43" s="87"/>
      <c r="H43" s="87"/>
      <c r="I43" s="87"/>
      <c r="J43" s="87"/>
      <c r="K43" s="87"/>
      <c r="L43" s="87"/>
      <c r="M43" s="88"/>
      <c r="N43" s="97"/>
      <c r="O43" s="97"/>
      <c r="P43" s="97"/>
      <c r="Q43" s="97"/>
      <c r="R43" s="97"/>
      <c r="S43" s="97"/>
      <c r="T43" s="97"/>
      <c r="U43" s="97"/>
      <c r="V43" s="97"/>
      <c r="W43" s="97"/>
      <c r="X43" s="88"/>
      <c r="Y43" s="97"/>
      <c r="Z43" s="97"/>
      <c r="AA43" s="97"/>
      <c r="AB43" s="97"/>
      <c r="AC43" s="97"/>
    </row>
    <row r="44" spans="1:34" ht="15.75" hidden="1" x14ac:dyDescent="0.25">
      <c r="B44" s="103"/>
      <c r="C44" s="79"/>
      <c r="D44" s="79"/>
      <c r="E44" s="79"/>
      <c r="F44" s="79"/>
      <c r="G44" s="79"/>
      <c r="H44" s="79"/>
      <c r="I44" s="79"/>
      <c r="J44" s="79"/>
      <c r="K44" s="79"/>
      <c r="L44" s="79"/>
      <c r="M44" s="104"/>
      <c r="N44" s="105"/>
      <c r="O44" s="105"/>
      <c r="P44" s="105"/>
      <c r="Q44" s="105"/>
      <c r="R44" s="105"/>
      <c r="S44" s="105"/>
      <c r="T44" s="105"/>
      <c r="U44" s="105"/>
      <c r="V44" s="105"/>
      <c r="W44" s="105"/>
      <c r="X44" s="104"/>
      <c r="Y44" s="105"/>
      <c r="Z44" s="105"/>
      <c r="AA44" s="105"/>
      <c r="AB44" s="105"/>
      <c r="AC44" s="105"/>
    </row>
    <row r="45" spans="1:34" ht="15" hidden="1" x14ac:dyDescent="0.25">
      <c r="B45" s="106"/>
      <c r="C45" s="107">
        <f>SUM(C34:D34)</f>
        <v>0</v>
      </c>
      <c r="D45" s="108"/>
      <c r="E45" s="100" t="s">
        <v>57</v>
      </c>
      <c r="F45" s="100"/>
      <c r="G45" s="95"/>
      <c r="H45" s="95"/>
      <c r="I45" s="95"/>
      <c r="J45" s="95"/>
      <c r="K45" s="95"/>
      <c r="L45" s="95"/>
      <c r="M45" s="109"/>
      <c r="N45" s="107">
        <f>SUM(N34:O34)*T$2</f>
        <v>0</v>
      </c>
      <c r="O45" s="110"/>
      <c r="P45" s="100" t="s">
        <v>57</v>
      </c>
      <c r="Q45" s="100"/>
      <c r="R45" s="111"/>
      <c r="S45" s="111"/>
      <c r="T45" s="111"/>
      <c r="U45" s="111"/>
      <c r="V45" s="111"/>
      <c r="W45" s="111"/>
      <c r="X45" s="109"/>
      <c r="Y45" s="107">
        <f>SUM(Y34:Z34)*AE$2</f>
        <v>0</v>
      </c>
      <c r="Z45" s="108"/>
      <c r="AA45" s="100" t="s">
        <v>57</v>
      </c>
      <c r="AB45" s="111"/>
      <c r="AC45" s="111"/>
    </row>
    <row r="46" spans="1:34" ht="15" hidden="1" x14ac:dyDescent="0.25">
      <c r="B46" s="106"/>
      <c r="C46" s="90">
        <f>E34+G34+I34+K34</f>
        <v>0</v>
      </c>
      <c r="D46" s="95"/>
      <c r="E46" s="112" t="s">
        <v>58</v>
      </c>
      <c r="F46" s="100"/>
      <c r="G46" s="95"/>
      <c r="H46" s="95"/>
      <c r="I46" s="95"/>
      <c r="J46" s="95"/>
      <c r="K46" s="95"/>
      <c r="L46" s="95"/>
      <c r="M46" s="109"/>
      <c r="N46" s="90">
        <f>(P34+R34+T34+V34)*T$2</f>
        <v>0</v>
      </c>
      <c r="O46" s="95"/>
      <c r="P46" s="112" t="s">
        <v>58</v>
      </c>
      <c r="Q46" s="100"/>
      <c r="R46" s="111"/>
      <c r="S46" s="111"/>
      <c r="T46" s="111"/>
      <c r="U46" s="111"/>
      <c r="V46" s="111"/>
      <c r="W46" s="111"/>
      <c r="X46" s="109"/>
      <c r="Y46" s="90">
        <f>(AA34+AC34+AE34+AG34)*AE$2</f>
        <v>0</v>
      </c>
      <c r="Z46" s="95"/>
      <c r="AA46" s="112" t="s">
        <v>58</v>
      </c>
      <c r="AB46" s="111"/>
      <c r="AC46" s="111"/>
    </row>
    <row r="47" spans="1:34" ht="15" hidden="1" x14ac:dyDescent="0.25">
      <c r="B47" s="106"/>
      <c r="C47" s="91"/>
      <c r="E47" s="113"/>
      <c r="F47" s="100"/>
      <c r="G47" s="95"/>
      <c r="H47" s="95"/>
      <c r="I47" s="95"/>
      <c r="J47" s="95"/>
      <c r="K47" s="95"/>
      <c r="L47" s="95"/>
      <c r="M47" s="109"/>
      <c r="N47" s="91"/>
      <c r="P47" s="113"/>
      <c r="Q47" s="100"/>
      <c r="R47" s="111"/>
      <c r="S47" s="111"/>
      <c r="T47" s="111"/>
      <c r="U47" s="111"/>
      <c r="V47" s="111"/>
      <c r="W47" s="111"/>
      <c r="X47" s="109"/>
      <c r="Y47" s="91"/>
      <c r="AA47" s="113"/>
      <c r="AB47" s="111"/>
      <c r="AC47" s="111"/>
    </row>
    <row r="48" spans="1:34" ht="15" hidden="1" x14ac:dyDescent="0.25">
      <c r="B48" s="106"/>
      <c r="C48" s="90">
        <f>E34+G34+I34+K34</f>
        <v>0</v>
      </c>
      <c r="D48" s="95"/>
      <c r="E48" s="112" t="s">
        <v>59</v>
      </c>
      <c r="F48" s="100"/>
      <c r="G48" s="95"/>
      <c r="H48" s="95"/>
      <c r="I48" s="95"/>
      <c r="J48" s="95"/>
      <c r="K48" s="95"/>
      <c r="L48" s="95"/>
      <c r="M48" s="109"/>
      <c r="N48" s="90">
        <f>(P34+R34+T34+V34)*T$2</f>
        <v>0</v>
      </c>
      <c r="O48" s="95"/>
      <c r="P48" s="112" t="s">
        <v>59</v>
      </c>
      <c r="Q48" s="100"/>
      <c r="R48" s="111"/>
      <c r="S48" s="111"/>
      <c r="T48" s="111"/>
      <c r="U48" s="111"/>
      <c r="V48" s="111"/>
      <c r="W48" s="111"/>
      <c r="X48" s="109"/>
      <c r="Y48" s="90">
        <f>(AA34+AC34+AE34+AG34)*AE$2</f>
        <v>0</v>
      </c>
      <c r="Z48" s="95"/>
      <c r="AA48" s="112" t="s">
        <v>59</v>
      </c>
      <c r="AB48" s="111"/>
      <c r="AC48" s="111"/>
    </row>
    <row r="49" spans="2:34" ht="15" hidden="1" x14ac:dyDescent="0.25">
      <c r="B49" s="106"/>
      <c r="C49" s="91"/>
      <c r="D49" s="95"/>
      <c r="E49" s="113"/>
      <c r="F49" s="111"/>
      <c r="G49" s="95"/>
      <c r="H49" s="95"/>
      <c r="I49" s="95"/>
      <c r="J49" s="95"/>
      <c r="K49" s="95"/>
      <c r="L49" s="95"/>
      <c r="M49" s="109"/>
      <c r="N49" s="91"/>
      <c r="O49" s="95"/>
      <c r="P49" s="113"/>
      <c r="Q49" s="111"/>
      <c r="R49" s="111"/>
      <c r="S49" s="111"/>
      <c r="T49" s="111"/>
      <c r="U49" s="111"/>
      <c r="V49" s="111"/>
      <c r="W49" s="111"/>
      <c r="X49" s="109"/>
      <c r="Y49" s="91"/>
      <c r="Z49" s="95"/>
      <c r="AA49" s="113"/>
      <c r="AB49" s="111"/>
      <c r="AC49" s="111"/>
    </row>
    <row r="50" spans="2:34" ht="15" hidden="1" x14ac:dyDescent="0.25">
      <c r="B50" s="106"/>
      <c r="F50" s="100"/>
      <c r="G50" s="95"/>
      <c r="H50" s="95"/>
      <c r="I50" s="95"/>
      <c r="J50" s="95"/>
      <c r="K50" s="95"/>
      <c r="L50" s="95"/>
      <c r="M50" s="109"/>
      <c r="Q50" s="100"/>
      <c r="R50" s="111"/>
      <c r="S50" s="111"/>
      <c r="T50" s="111"/>
      <c r="U50" s="111"/>
      <c r="V50" s="111"/>
      <c r="W50" s="111"/>
      <c r="X50" s="109"/>
      <c r="AB50" s="111"/>
      <c r="AC50" s="111"/>
    </row>
    <row r="51" spans="2:34" ht="15" hidden="1" x14ac:dyDescent="0.25">
      <c r="B51" s="106"/>
      <c r="C51" s="92">
        <f>MIN(C46,P1_In_Deduct)</f>
        <v>0</v>
      </c>
      <c r="D51" s="108"/>
      <c r="E51" s="114" t="s">
        <v>60</v>
      </c>
      <c r="G51" s="87"/>
      <c r="H51" s="87"/>
      <c r="I51" s="87"/>
      <c r="J51" s="87"/>
      <c r="K51" s="87"/>
      <c r="L51" s="87"/>
      <c r="M51" s="97"/>
      <c r="N51" s="92">
        <f>MIN(N46,P1_In_Deduct)</f>
        <v>0</v>
      </c>
      <c r="O51" s="108"/>
      <c r="P51" s="114" t="s">
        <v>60</v>
      </c>
      <c r="Q51" s="97"/>
      <c r="R51" s="97"/>
      <c r="S51" s="97"/>
      <c r="T51" s="97"/>
      <c r="U51" s="97"/>
      <c r="V51" s="97"/>
      <c r="W51" s="97"/>
      <c r="X51" s="97"/>
      <c r="Y51" s="92">
        <f>MIN(Y46,P1_In_Deduct)</f>
        <v>0</v>
      </c>
      <c r="Z51" s="108"/>
      <c r="AA51" s="114" t="s">
        <v>60</v>
      </c>
      <c r="AB51" s="97"/>
      <c r="AC51" s="97"/>
    </row>
    <row r="52" spans="2:34" ht="15" hidden="1" x14ac:dyDescent="0.25">
      <c r="B52" s="106"/>
      <c r="C52" s="93"/>
      <c r="E52" s="115"/>
      <c r="G52" s="87"/>
      <c r="H52" s="87"/>
      <c r="I52" s="87"/>
      <c r="J52" s="87"/>
      <c r="K52" s="87"/>
      <c r="L52" s="87"/>
      <c r="M52" s="97"/>
      <c r="N52" s="93"/>
      <c r="P52" s="115"/>
      <c r="Q52" s="97"/>
      <c r="R52" s="97"/>
      <c r="S52" s="97"/>
      <c r="W52" s="108"/>
      <c r="X52" s="97"/>
      <c r="Y52" s="93"/>
      <c r="AA52" s="115"/>
      <c r="AB52" s="97"/>
      <c r="AC52" s="97"/>
    </row>
    <row r="53" spans="2:34" ht="15" hidden="1" x14ac:dyDescent="0.25">
      <c r="B53" s="106"/>
      <c r="C53" s="93"/>
      <c r="E53" s="115"/>
      <c r="G53" s="87"/>
      <c r="H53" s="87"/>
      <c r="I53" s="87"/>
      <c r="J53" s="87"/>
      <c r="K53" s="87"/>
      <c r="L53" s="87"/>
      <c r="M53" s="97"/>
      <c r="N53" s="93"/>
      <c r="P53" s="115"/>
      <c r="Q53" s="97"/>
      <c r="R53" s="97"/>
      <c r="S53" s="97"/>
      <c r="W53" s="108"/>
      <c r="X53" s="97"/>
      <c r="Y53" s="93"/>
      <c r="AA53" s="115"/>
      <c r="AB53" s="97"/>
      <c r="AC53" s="97"/>
    </row>
    <row r="54" spans="2:34" ht="15" hidden="1" x14ac:dyDescent="0.25">
      <c r="B54" s="106"/>
      <c r="C54" s="92">
        <f>MIN((C48-C51)*(1-P1_In_Coins),P1_In_OOPMax)</f>
        <v>0</v>
      </c>
      <c r="D54" s="108"/>
      <c r="E54" s="112" t="s">
        <v>61</v>
      </c>
      <c r="F54" s="87"/>
      <c r="G54" s="87"/>
      <c r="H54" s="87"/>
      <c r="I54" s="87"/>
      <c r="J54" s="87"/>
      <c r="K54" s="87"/>
      <c r="L54" s="87"/>
      <c r="M54" s="97"/>
      <c r="N54" s="92">
        <f>MIN((N48-N51)*(1-P1_In_Coins),P1_In_OOPMax)</f>
        <v>0</v>
      </c>
      <c r="O54" s="108"/>
      <c r="P54" s="112" t="s">
        <v>61</v>
      </c>
      <c r="Q54" s="97"/>
      <c r="R54" s="97"/>
      <c r="S54" s="97"/>
      <c r="W54" s="108"/>
      <c r="X54" s="97"/>
      <c r="Y54" s="92">
        <f>MIN((Y48-Y51)*(1-P1_In_Coins),P1_In_OOPMax)</f>
        <v>0</v>
      </c>
      <c r="Z54" s="108"/>
      <c r="AA54" s="112" t="s">
        <v>61</v>
      </c>
      <c r="AB54" s="97"/>
      <c r="AC54" s="97"/>
    </row>
    <row r="55" spans="2:34" ht="15.75" hidden="1" x14ac:dyDescent="0.25">
      <c r="B55" s="106"/>
      <c r="C55" s="93"/>
      <c r="D55" s="79"/>
      <c r="E55" s="113"/>
      <c r="F55" s="79"/>
      <c r="G55" s="79"/>
      <c r="H55" s="79"/>
      <c r="I55" s="79"/>
      <c r="J55" s="79"/>
      <c r="K55" s="79"/>
      <c r="L55" s="79"/>
      <c r="M55" s="105"/>
      <c r="N55" s="93"/>
      <c r="O55" s="79"/>
      <c r="P55" s="113"/>
      <c r="Q55" s="105"/>
      <c r="R55" s="105"/>
      <c r="S55" s="105"/>
      <c r="T55" s="116"/>
      <c r="U55" s="116"/>
      <c r="V55" s="105"/>
      <c r="W55" s="105"/>
      <c r="X55" s="105"/>
      <c r="Y55" s="93"/>
      <c r="Z55" s="79"/>
      <c r="AA55" s="113"/>
      <c r="AB55" s="105"/>
      <c r="AC55" s="105"/>
    </row>
    <row r="56" spans="2:34" ht="15" hidden="1" x14ac:dyDescent="0.25">
      <c r="B56" s="106"/>
      <c r="C56" s="87"/>
      <c r="D56" s="87"/>
      <c r="E56" s="87"/>
      <c r="F56" s="87"/>
      <c r="G56" s="87"/>
      <c r="H56" s="87"/>
      <c r="I56" s="87"/>
      <c r="J56" s="87"/>
      <c r="K56" s="87"/>
      <c r="L56" s="87"/>
      <c r="M56" s="97"/>
      <c r="N56" s="97"/>
      <c r="O56" s="97"/>
      <c r="P56" s="97"/>
      <c r="Q56" s="97"/>
      <c r="R56" s="97"/>
      <c r="S56" s="97"/>
      <c r="T56" s="117"/>
      <c r="U56" s="117"/>
      <c r="V56" s="97"/>
      <c r="W56" s="97"/>
      <c r="X56" s="97"/>
      <c r="Y56" s="97"/>
      <c r="Z56" s="97"/>
      <c r="AA56" s="97"/>
      <c r="AB56" s="97"/>
      <c r="AC56" s="97"/>
    </row>
    <row r="57" spans="2:34" ht="15" hidden="1" x14ac:dyDescent="0.25">
      <c r="B57" s="106"/>
      <c r="C57" s="87"/>
      <c r="D57" s="87"/>
      <c r="E57" s="87"/>
      <c r="F57" s="87"/>
      <c r="G57" s="87"/>
      <c r="H57" s="87"/>
      <c r="I57" s="87"/>
      <c r="J57" s="87"/>
      <c r="K57" s="87"/>
      <c r="L57" s="87"/>
      <c r="M57" s="97"/>
      <c r="N57" s="97"/>
      <c r="O57" s="97"/>
      <c r="P57" s="97"/>
      <c r="Q57" s="97"/>
      <c r="R57" s="97"/>
      <c r="S57" s="97"/>
      <c r="T57" s="97"/>
      <c r="U57" s="97"/>
      <c r="V57" s="97"/>
      <c r="W57" s="97"/>
      <c r="X57" s="97"/>
      <c r="Y57" s="97"/>
      <c r="Z57" s="97"/>
      <c r="AA57" s="97"/>
      <c r="AB57" s="97"/>
      <c r="AC57" s="97"/>
    </row>
    <row r="58" spans="2:34" ht="15.75" hidden="1" x14ac:dyDescent="0.25">
      <c r="B58" s="106"/>
      <c r="C58" s="79"/>
      <c r="D58" s="79"/>
      <c r="E58" s="79"/>
      <c r="F58" s="79"/>
      <c r="G58" s="79"/>
      <c r="H58" s="79"/>
      <c r="I58" s="79"/>
      <c r="J58" s="79"/>
      <c r="K58" s="79"/>
      <c r="L58" s="79"/>
      <c r="M58" s="105"/>
      <c r="N58" s="105"/>
      <c r="O58" s="105"/>
      <c r="P58" s="105"/>
      <c r="Q58" s="105"/>
      <c r="R58" s="105"/>
      <c r="S58" s="105"/>
      <c r="T58" s="118" t="s">
        <v>62</v>
      </c>
      <c r="U58" s="118"/>
      <c r="V58" s="119">
        <f>MIN((C51+N51+Y51),(P1_In_Deduct*P1_In_FamMult))</f>
        <v>0</v>
      </c>
      <c r="W58" s="105"/>
      <c r="X58" s="105"/>
      <c r="Y58" s="105"/>
      <c r="Z58" s="105"/>
      <c r="AA58" s="105"/>
      <c r="AB58" s="105"/>
      <c r="AC58" s="105"/>
    </row>
    <row r="59" spans="2:34" ht="15" hidden="1" x14ac:dyDescent="0.25">
      <c r="B59" s="106"/>
      <c r="C59" s="87"/>
      <c r="D59" s="87"/>
      <c r="E59" s="87"/>
      <c r="F59" s="87"/>
      <c r="G59" s="87"/>
      <c r="H59" s="87"/>
      <c r="I59" s="87"/>
      <c r="J59" s="87"/>
      <c r="K59" s="87"/>
      <c r="L59" s="87"/>
      <c r="M59" s="97"/>
      <c r="N59" s="97"/>
      <c r="O59" s="97"/>
      <c r="P59" s="97"/>
      <c r="Q59" s="97"/>
      <c r="R59" s="97"/>
      <c r="S59" s="97"/>
      <c r="T59" s="118"/>
      <c r="V59" s="120"/>
      <c r="W59" s="97"/>
      <c r="X59" s="97"/>
      <c r="Y59" s="97"/>
      <c r="Z59" s="97"/>
      <c r="AA59" s="97"/>
      <c r="AB59" s="97"/>
      <c r="AC59" s="97"/>
    </row>
    <row r="60" spans="2:34" ht="15" hidden="1" x14ac:dyDescent="0.25">
      <c r="B60" s="106"/>
      <c r="C60" s="87"/>
      <c r="D60" s="87"/>
      <c r="E60" s="87"/>
      <c r="F60" s="87"/>
      <c r="G60" s="87"/>
      <c r="H60" s="87"/>
      <c r="I60" s="87"/>
      <c r="J60" s="87"/>
      <c r="K60" s="87"/>
      <c r="L60" s="87"/>
      <c r="M60" s="97"/>
      <c r="N60" s="97"/>
      <c r="O60" s="97"/>
      <c r="P60" s="97"/>
      <c r="Q60" s="97"/>
      <c r="R60" s="97"/>
      <c r="S60" s="97"/>
      <c r="T60" s="97"/>
      <c r="U60" s="97"/>
      <c r="V60" s="97"/>
      <c r="W60" s="97"/>
      <c r="X60" s="97"/>
      <c r="Y60" s="97"/>
      <c r="Z60" s="97"/>
      <c r="AA60" s="97"/>
      <c r="AB60" s="97"/>
      <c r="AC60" s="97"/>
    </row>
    <row r="61" spans="2:34" ht="15.75" hidden="1" x14ac:dyDescent="0.25">
      <c r="B61" s="106"/>
      <c r="C61" s="79"/>
      <c r="D61" s="79"/>
      <c r="E61" s="79"/>
      <c r="F61" s="79"/>
      <c r="G61" s="79"/>
      <c r="H61" s="79"/>
      <c r="I61" s="79"/>
      <c r="J61" s="79"/>
      <c r="K61" s="79"/>
      <c r="L61" s="79"/>
      <c r="M61" s="105"/>
      <c r="N61" s="105"/>
      <c r="O61" s="105"/>
      <c r="P61" s="105"/>
      <c r="Q61" s="105"/>
      <c r="R61" s="105"/>
      <c r="S61" s="105"/>
      <c r="T61" s="118" t="s">
        <v>63</v>
      </c>
      <c r="U61" s="118"/>
      <c r="V61" s="119">
        <f>MIN((C54+N54+Y54),(P1_In_OOPMax*P1_In_FamMult))</f>
        <v>0</v>
      </c>
      <c r="W61" s="105"/>
      <c r="X61" s="105"/>
      <c r="Y61" s="105"/>
      <c r="Z61" s="105"/>
      <c r="AA61" s="105"/>
      <c r="AB61" s="105"/>
      <c r="AC61" s="105"/>
    </row>
    <row r="62" spans="2:34" ht="15" hidden="1" x14ac:dyDescent="0.25">
      <c r="B62" s="106"/>
      <c r="C62" s="87"/>
      <c r="D62" s="87"/>
      <c r="E62" s="87"/>
      <c r="F62" s="87"/>
      <c r="G62" s="87"/>
      <c r="H62" s="87"/>
      <c r="I62" s="87"/>
      <c r="J62" s="87"/>
      <c r="K62" s="87"/>
      <c r="L62" s="87"/>
      <c r="M62" s="97"/>
      <c r="N62" s="97"/>
      <c r="O62" s="97"/>
      <c r="P62" s="97"/>
      <c r="Q62" s="97"/>
      <c r="R62" s="97"/>
      <c r="S62" s="97"/>
      <c r="T62" s="118"/>
      <c r="U62" s="97"/>
      <c r="V62" s="107"/>
      <c r="W62" s="97"/>
      <c r="X62" s="97"/>
      <c r="Y62" s="97"/>
      <c r="Z62" s="97"/>
      <c r="AA62" s="97"/>
      <c r="AB62" s="97"/>
      <c r="AC62" s="97"/>
    </row>
    <row r="63" spans="2:34" ht="15.75" x14ac:dyDescent="0.25">
      <c r="B63" s="80"/>
      <c r="C63" s="81"/>
      <c r="D63" s="81"/>
      <c r="E63" s="81"/>
      <c r="F63" s="81"/>
      <c r="G63" s="81"/>
      <c r="H63" s="81"/>
      <c r="I63" s="81"/>
      <c r="J63" s="81"/>
      <c r="K63" s="81"/>
      <c r="L63" s="81"/>
      <c r="M63" s="82"/>
      <c r="X63" s="82"/>
      <c r="AA63" s="78"/>
      <c r="AB63" s="78"/>
      <c r="AC63" s="78"/>
      <c r="AD63" s="78"/>
      <c r="AE63" s="79"/>
    </row>
    <row r="64" spans="2:34" ht="15.75" x14ac:dyDescent="0.25">
      <c r="B64" s="83"/>
      <c r="C64" s="235" t="s">
        <v>6</v>
      </c>
      <c r="D64" s="235"/>
      <c r="E64" s="235"/>
      <c r="F64" s="235"/>
      <c r="G64" s="235"/>
      <c r="H64" s="235"/>
      <c r="I64" s="235"/>
      <c r="J64" s="235"/>
      <c r="K64" s="235"/>
      <c r="L64" s="84"/>
      <c r="M64" s="85"/>
      <c r="N64" s="235" t="s">
        <v>7</v>
      </c>
      <c r="O64" s="235"/>
      <c r="P64" s="235"/>
      <c r="Q64" s="235"/>
      <c r="R64" s="235"/>
      <c r="S64" s="235"/>
      <c r="T64" s="235"/>
      <c r="U64" s="235"/>
      <c r="V64" s="235"/>
      <c r="W64" s="84"/>
      <c r="X64" s="85"/>
      <c r="Y64" s="235" t="s">
        <v>11</v>
      </c>
      <c r="Z64" s="235"/>
      <c r="AA64" s="235"/>
      <c r="AB64" s="235"/>
      <c r="AC64" s="235"/>
      <c r="AD64" s="235"/>
      <c r="AE64" s="235"/>
      <c r="AF64" s="235"/>
      <c r="AG64" s="235"/>
      <c r="AH64" s="235"/>
    </row>
    <row r="65" spans="1:34" ht="33.75" customHeight="1" x14ac:dyDescent="0.25">
      <c r="B65" s="83"/>
      <c r="C65" s="233" t="s">
        <v>37</v>
      </c>
      <c r="D65" s="233"/>
      <c r="E65" s="233" t="s">
        <v>38</v>
      </c>
      <c r="F65" s="233"/>
      <c r="G65" s="234" t="s">
        <v>39</v>
      </c>
      <c r="H65" s="234"/>
      <c r="I65" s="233" t="s">
        <v>40</v>
      </c>
      <c r="J65" s="233"/>
      <c r="K65" s="233" t="s">
        <v>41</v>
      </c>
      <c r="L65" s="233"/>
      <c r="M65" s="85"/>
      <c r="N65" s="233" t="s">
        <v>37</v>
      </c>
      <c r="O65" s="233"/>
      <c r="P65" s="233" t="s">
        <v>38</v>
      </c>
      <c r="Q65" s="233"/>
      <c r="R65" s="234" t="s">
        <v>39</v>
      </c>
      <c r="S65" s="234"/>
      <c r="T65" s="233" t="s">
        <v>40</v>
      </c>
      <c r="U65" s="233"/>
      <c r="V65" s="233" t="s">
        <v>41</v>
      </c>
      <c r="W65" s="233"/>
      <c r="X65" s="85"/>
      <c r="Y65" s="233" t="s">
        <v>37</v>
      </c>
      <c r="Z65" s="233"/>
      <c r="AA65" s="233" t="s">
        <v>38</v>
      </c>
      <c r="AB65" s="233"/>
      <c r="AC65" s="234" t="s">
        <v>39</v>
      </c>
      <c r="AD65" s="234"/>
      <c r="AE65" s="233" t="s">
        <v>40</v>
      </c>
      <c r="AF65" s="233"/>
      <c r="AG65" s="233" t="s">
        <v>41</v>
      </c>
      <c r="AH65" s="233"/>
    </row>
    <row r="66" spans="1:34" ht="14.25" x14ac:dyDescent="0.2">
      <c r="B66" s="86"/>
      <c r="C66" s="232" t="s">
        <v>42</v>
      </c>
      <c r="D66" s="232"/>
      <c r="E66" s="232" t="s">
        <v>42</v>
      </c>
      <c r="F66" s="232"/>
      <c r="G66" s="232" t="s">
        <v>42</v>
      </c>
      <c r="H66" s="232"/>
      <c r="I66" s="232" t="s">
        <v>42</v>
      </c>
      <c r="J66" s="232"/>
      <c r="K66" s="232" t="s">
        <v>42</v>
      </c>
      <c r="L66" s="232"/>
      <c r="M66" s="88"/>
      <c r="N66" s="232" t="s">
        <v>42</v>
      </c>
      <c r="O66" s="232"/>
      <c r="P66" s="232" t="s">
        <v>42</v>
      </c>
      <c r="Q66" s="232"/>
      <c r="R66" s="232" t="s">
        <v>42</v>
      </c>
      <c r="S66" s="232"/>
      <c r="T66" s="232" t="s">
        <v>42</v>
      </c>
      <c r="U66" s="232"/>
      <c r="V66" s="232" t="s">
        <v>42</v>
      </c>
      <c r="W66" s="232"/>
      <c r="X66" s="88"/>
      <c r="Y66" s="232" t="s">
        <v>42</v>
      </c>
      <c r="Z66" s="232"/>
      <c r="AA66" s="232" t="s">
        <v>42</v>
      </c>
      <c r="AB66" s="232"/>
      <c r="AC66" s="232" t="s">
        <v>42</v>
      </c>
      <c r="AD66" s="232"/>
      <c r="AE66" s="232" t="s">
        <v>42</v>
      </c>
      <c r="AF66" s="232"/>
      <c r="AG66" s="232" t="s">
        <v>42</v>
      </c>
      <c r="AH66" s="232"/>
    </row>
    <row r="67" spans="1:34" ht="14.25" x14ac:dyDescent="0.2">
      <c r="B67" s="86"/>
      <c r="C67" s="87" t="s">
        <v>43</v>
      </c>
      <c r="D67" s="87" t="s">
        <v>44</v>
      </c>
      <c r="E67" s="87" t="s">
        <v>43</v>
      </c>
      <c r="F67" s="87" t="s">
        <v>44</v>
      </c>
      <c r="G67" s="87" t="s">
        <v>43</v>
      </c>
      <c r="H67" s="87" t="s">
        <v>44</v>
      </c>
      <c r="I67" s="87" t="s">
        <v>43</v>
      </c>
      <c r="J67" s="87" t="s">
        <v>44</v>
      </c>
      <c r="K67" s="87" t="s">
        <v>43</v>
      </c>
      <c r="L67" s="87" t="s">
        <v>44</v>
      </c>
      <c r="M67" s="88"/>
      <c r="N67" s="87" t="s">
        <v>43</v>
      </c>
      <c r="O67" s="87" t="s">
        <v>44</v>
      </c>
      <c r="P67" s="87" t="s">
        <v>43</v>
      </c>
      <c r="Q67" s="87" t="s">
        <v>44</v>
      </c>
      <c r="R67" s="87" t="s">
        <v>43</v>
      </c>
      <c r="S67" s="87" t="s">
        <v>44</v>
      </c>
      <c r="T67" s="87" t="s">
        <v>43</v>
      </c>
      <c r="U67" s="87" t="s">
        <v>44</v>
      </c>
      <c r="V67" s="87" t="s">
        <v>43</v>
      </c>
      <c r="W67" s="87" t="s">
        <v>44</v>
      </c>
      <c r="X67" s="88"/>
      <c r="Y67" s="87" t="s">
        <v>43</v>
      </c>
      <c r="Z67" s="87" t="s">
        <v>44</v>
      </c>
      <c r="AA67" s="87" t="s">
        <v>43</v>
      </c>
      <c r="AB67" s="87" t="s">
        <v>44</v>
      </c>
      <c r="AC67" s="87" t="s">
        <v>43</v>
      </c>
      <c r="AD67" s="87" t="s">
        <v>44</v>
      </c>
      <c r="AE67" s="87" t="s">
        <v>43</v>
      </c>
      <c r="AF67" s="87" t="s">
        <v>44</v>
      </c>
      <c r="AG67" s="87" t="s">
        <v>43</v>
      </c>
      <c r="AH67" s="87" t="s">
        <v>44</v>
      </c>
    </row>
    <row r="68" spans="1:34" ht="15.75" customHeight="1" x14ac:dyDescent="0.25">
      <c r="B68" s="89" t="s">
        <v>45</v>
      </c>
      <c r="C68" s="90">
        <f>IF('Plan Comparison Calculator'!$G$10=FALSE,0,IF('Plan Comparison Calculator'!$F$10="In-Network",3*P2_In_OV+P2_In_Maternity_IP_Copay,""))</f>
        <v>0</v>
      </c>
      <c r="D68" s="91">
        <f>IF('Plan Comparison Calculator'!$G$10=FALSE,0,IF('Plan Comparison Calculator'!$F$10="PLUS ONLY Out-of-Network",3*P2_Out_OV+P2_Out_Maternity_IP_Copay,""))</f>
        <v>0</v>
      </c>
      <c r="E68" s="90">
        <f>IF('Plan Comparison Calculator'!$G$10=FALSE,0,IF('Plan Comparison Calculator'!$F$10="In-Network",Maternity_Office,""))</f>
        <v>0</v>
      </c>
      <c r="F68" s="91">
        <f>IF('Plan Comparison Calculator'!$G$10=FALSE,0,IF('Plan Comparison Calculator'!$F$10="PLUS ONLY Out-of-Network",Maternity_Office*OONCostLoad,""))</f>
        <v>0</v>
      </c>
      <c r="G68" s="90">
        <f>IF('Plan Comparison Calculator'!$G$10=FALSE,0,IF('Plan Comparison Calculator'!$F$10="In-Network",Maternity_XrayLab,""))</f>
        <v>0</v>
      </c>
      <c r="H68" s="91">
        <f>IF('Plan Comparison Calculator'!$G$10=FALSE,0,IF('Plan Comparison Calculator'!$F$10="PLUS ONLY Out-of-Network",Maternity_XrayLab*OONCostLoad,""))</f>
        <v>0</v>
      </c>
      <c r="I68" s="90">
        <f>IF('Plan Comparison Calculator'!$G$10=FALSE,0,IF('Plan Comparison Calculator'!$F$10="In-Network",Maternity_Facility,""))</f>
        <v>0</v>
      </c>
      <c r="J68" s="91">
        <f>IF('Plan Comparison Calculator'!$G$10=FALSE,0,IF('Plan Comparison Calculator'!$F$10="PLUS ONLY Out-of-Network",Maternity_Facility*OONCostLoad,""))</f>
        <v>0</v>
      </c>
      <c r="K68" s="90">
        <f>IF('Plan Comparison Calculator'!$G$10=FALSE,0,IF('Plan Comparison Calculator'!$F$10="In-Network",Maternity_Physician,""))</f>
        <v>0</v>
      </c>
      <c r="L68" s="91">
        <f>IF('Plan Comparison Calculator'!$G$10=FALSE,0,IF('Plan Comparison Calculator'!$F$10="PLUS ONLY Out-of-Network",Maternity_Physician*OONCostLoad,""))</f>
        <v>0</v>
      </c>
      <c r="M68" s="88"/>
      <c r="N68" s="90">
        <f>IF('Plan Comparison Calculator'!$I$10=FALSE,0,IF('Plan Comparison Calculator'!$F$10="In-Network",3*P2_In_OV+P2_In_Maternity_IP_Copay,""))</f>
        <v>0</v>
      </c>
      <c r="O68" s="91">
        <f>IF('Plan Comparison Calculator'!$I$10=FALSE,0,IF('Plan Comparison Calculator'!$F$10="PLUS ONLY Out-of-Network",3*P2_Out_OV+P2_Out_Maternity_IP_Copay,""))</f>
        <v>0</v>
      </c>
      <c r="P68" s="90">
        <f>IF('Plan Comparison Calculator'!$I$10=FALSE,0,IF('Plan Comparison Calculator'!$F$10="In-Network",Maternity_Office,""))</f>
        <v>0</v>
      </c>
      <c r="Q68" s="91">
        <f>IF('Plan Comparison Calculator'!$I$10=FALSE,0,IF('Plan Comparison Calculator'!$F$10="PLUS ONLY Out-of-Network",Maternity_Office*OONCostLoad,""))</f>
        <v>0</v>
      </c>
      <c r="R68" s="90">
        <f>IF('Plan Comparison Calculator'!$I$10=FALSE,0,IF('Plan Comparison Calculator'!$F$10="In-Network",Maternity_XrayLab,""))</f>
        <v>0</v>
      </c>
      <c r="S68" s="91">
        <f>IF('Plan Comparison Calculator'!$I$10=FALSE,0,IF('Plan Comparison Calculator'!$F$10="PLUS ONLY Out-of-Network",Maternity_XrayLab*OONCostLoad,""))</f>
        <v>0</v>
      </c>
      <c r="T68" s="90">
        <f>IF('Plan Comparison Calculator'!$I$10=FALSE,0,IF('Plan Comparison Calculator'!$F$10="In-Network",Maternity_Facility,""))</f>
        <v>0</v>
      </c>
      <c r="U68" s="91">
        <f>IF('Plan Comparison Calculator'!$I$10=FALSE,0,IF('Plan Comparison Calculator'!$F$10="PLUS ONLY Out-of-Network",Maternity_Facility*OONCostLoad,""))</f>
        <v>0</v>
      </c>
      <c r="V68" s="90">
        <f>IF('Plan Comparison Calculator'!$I$10=FALSE,0,IF('Plan Comparison Calculator'!$F$10="In-Network",Maternity_Physician,""))</f>
        <v>0</v>
      </c>
      <c r="W68" s="91">
        <f>IF('Plan Comparison Calculator'!$I$10=FALSE,0,IF('Plan Comparison Calculator'!$F$10="PLUS ONLY Out-of-Network",Maternity_Physician*OONCostLoad,""))</f>
        <v>0</v>
      </c>
      <c r="X68" s="88"/>
      <c r="Y68" s="90"/>
      <c r="Z68" s="91"/>
      <c r="AA68" s="90"/>
      <c r="AB68" s="91"/>
      <c r="AC68" s="90"/>
      <c r="AD68" s="91"/>
      <c r="AE68" s="90">
        <f>IF('Plan Comparison Calculator'!F10="In-Network",IF(AND('Plan Comparison Calculator'!$G$10=FALSE,'Plan Comparison Calculator'!$I$10=FALSE),0,Baby_Facility),0)</f>
        <v>0</v>
      </c>
      <c r="AF68" s="91">
        <f>IF(AND('Plan Comparison Calculator'!$I$10=FALSE,'Plan Comparison Calculator'!$G$10=FALSE),0,IF('Plan Comparison Calculator'!$F$10="PLUS ONLY Out-of-Network",Baby_Facility*OONCostLoad,""))</f>
        <v>0</v>
      </c>
      <c r="AG68" s="90">
        <f>IF('Plan Comparison Calculator'!F10="In-Network",IF(AND('Plan Comparison Calculator'!$G$10=FALSE,'Plan Comparison Calculator'!$I$10=FALSE),0,Baby_Physician),0)</f>
        <v>0</v>
      </c>
      <c r="AH68" s="91">
        <f>IF(AND('Plan Comparison Calculator'!$I$10=FALSE,'Plan Comparison Calculator'!$G$10=FALSE),0,IF('Plan Comparison Calculator'!$F$10="PLUS ONLY Out-of-Network",Baby_Physician*OONCostLoad,""))</f>
        <v>0</v>
      </c>
    </row>
    <row r="69" spans="1:34" ht="15.75" customHeight="1" x14ac:dyDescent="0.25">
      <c r="B69" s="89"/>
      <c r="C69" s="90"/>
      <c r="D69" s="91"/>
      <c r="E69" s="90"/>
      <c r="F69" s="91"/>
      <c r="G69" s="90"/>
      <c r="H69" s="91"/>
      <c r="I69" s="90"/>
      <c r="J69" s="91"/>
      <c r="K69" s="90"/>
      <c r="L69" s="91"/>
      <c r="M69" s="88"/>
      <c r="N69" s="90"/>
      <c r="O69" s="91"/>
      <c r="P69" s="90"/>
      <c r="Q69" s="91"/>
      <c r="R69" s="90"/>
      <c r="S69" s="91"/>
      <c r="T69" s="90"/>
      <c r="U69" s="91"/>
      <c r="V69" s="90"/>
      <c r="W69" s="91"/>
      <c r="X69" s="88"/>
      <c r="Y69" s="90"/>
      <c r="Z69" s="91"/>
      <c r="AA69" s="90"/>
      <c r="AB69" s="91"/>
      <c r="AC69" s="90"/>
      <c r="AD69" s="91"/>
      <c r="AE69" s="90"/>
      <c r="AF69" s="91"/>
      <c r="AG69" s="90"/>
      <c r="AH69" s="91"/>
    </row>
    <row r="70" spans="1:34" ht="3.75" customHeight="1" x14ac:dyDescent="0.25">
      <c r="B70" s="89"/>
      <c r="C70" s="90"/>
      <c r="D70" s="91"/>
      <c r="E70" s="90"/>
      <c r="F70" s="91"/>
      <c r="G70" s="90"/>
      <c r="H70" s="91"/>
      <c r="I70" s="90"/>
      <c r="J70" s="91"/>
      <c r="K70" s="90"/>
      <c r="L70" s="91"/>
      <c r="M70" s="88"/>
      <c r="N70" s="90"/>
      <c r="O70" s="91"/>
      <c r="P70" s="90"/>
      <c r="Q70" s="91"/>
      <c r="R70" s="90"/>
      <c r="S70" s="91"/>
      <c r="T70" s="90"/>
      <c r="U70" s="91"/>
      <c r="V70" s="90"/>
      <c r="W70" s="91"/>
      <c r="X70" s="88"/>
      <c r="Y70" s="90"/>
      <c r="Z70" s="91"/>
      <c r="AA70" s="90"/>
      <c r="AB70" s="91"/>
      <c r="AC70" s="90"/>
      <c r="AD70" s="91"/>
      <c r="AE70" s="90"/>
      <c r="AF70" s="91"/>
      <c r="AG70" s="90"/>
      <c r="AH70" s="91"/>
    </row>
    <row r="71" spans="1:34" ht="3.75" customHeight="1" x14ac:dyDescent="0.25">
      <c r="B71" s="89"/>
      <c r="C71" s="92"/>
      <c r="D71" s="93"/>
      <c r="E71" s="92"/>
      <c r="F71" s="93"/>
      <c r="G71" s="92"/>
      <c r="H71" s="93"/>
      <c r="I71" s="92"/>
      <c r="J71" s="93"/>
      <c r="K71" s="92"/>
      <c r="L71" s="93"/>
      <c r="M71" s="88"/>
      <c r="N71" s="92"/>
      <c r="O71" s="93"/>
      <c r="P71" s="92"/>
      <c r="Q71" s="93"/>
      <c r="R71" s="92"/>
      <c r="S71" s="93"/>
      <c r="T71" s="92"/>
      <c r="U71" s="93"/>
      <c r="V71" s="92"/>
      <c r="W71" s="93"/>
      <c r="X71" s="88"/>
      <c r="Y71" s="92"/>
      <c r="Z71" s="93"/>
      <c r="AA71" s="92"/>
      <c r="AB71" s="93"/>
      <c r="AC71" s="92"/>
      <c r="AD71" s="93"/>
      <c r="AE71" s="92"/>
      <c r="AF71" s="93"/>
      <c r="AG71" s="92"/>
      <c r="AH71" s="93"/>
    </row>
    <row r="72" spans="1:34" ht="3.75" customHeight="1" x14ac:dyDescent="0.25">
      <c r="B72" s="89"/>
      <c r="C72" s="92"/>
      <c r="D72" s="93"/>
      <c r="E72" s="92"/>
      <c r="F72" s="93"/>
      <c r="G72" s="92"/>
      <c r="H72" s="93"/>
      <c r="I72" s="92"/>
      <c r="J72" s="93"/>
      <c r="K72" s="92"/>
      <c r="L72" s="93"/>
      <c r="M72" s="88"/>
      <c r="N72" s="92"/>
      <c r="O72" s="93"/>
      <c r="P72" s="92"/>
      <c r="Q72" s="93"/>
      <c r="R72" s="92"/>
      <c r="S72" s="93"/>
      <c r="T72" s="92"/>
      <c r="U72" s="93"/>
      <c r="V72" s="92"/>
      <c r="W72" s="93"/>
      <c r="X72" s="88"/>
      <c r="Y72" s="92"/>
      <c r="Z72" s="93"/>
      <c r="AA72" s="92"/>
      <c r="AB72" s="93"/>
      <c r="AC72" s="92"/>
      <c r="AD72" s="93"/>
      <c r="AE72" s="92"/>
      <c r="AF72" s="93"/>
      <c r="AG72" s="92"/>
      <c r="AH72" s="93"/>
    </row>
    <row r="73" spans="1:34" ht="3.75" customHeight="1" x14ac:dyDescent="0.25">
      <c r="B73" s="89"/>
      <c r="C73" s="92"/>
      <c r="D73" s="93"/>
      <c r="E73" s="92"/>
      <c r="F73" s="93"/>
      <c r="G73" s="92"/>
      <c r="H73" s="93"/>
      <c r="I73" s="92"/>
      <c r="J73" s="93"/>
      <c r="K73" s="92"/>
      <c r="L73" s="93"/>
      <c r="M73" s="88"/>
      <c r="N73" s="92"/>
      <c r="O73" s="93"/>
      <c r="P73" s="92"/>
      <c r="Q73" s="93"/>
      <c r="R73" s="92"/>
      <c r="S73" s="93"/>
      <c r="T73" s="92"/>
      <c r="U73" s="93"/>
      <c r="V73" s="92"/>
      <c r="W73" s="93"/>
      <c r="X73" s="88"/>
      <c r="Y73" s="92"/>
      <c r="Z73" s="93"/>
      <c r="AA73" s="92"/>
      <c r="AB73" s="93"/>
      <c r="AC73" s="92"/>
      <c r="AD73" s="93"/>
      <c r="AE73" s="92"/>
      <c r="AF73" s="93"/>
      <c r="AG73" s="92"/>
      <c r="AH73" s="93"/>
    </row>
    <row r="74" spans="1:34" ht="15" x14ac:dyDescent="0.25">
      <c r="B74" s="94" t="s">
        <v>46</v>
      </c>
      <c r="C74" s="92">
        <f>IF('Plan Comparison Calculator'!$F$16="In-Network",'Plan Comparison Calculator'!$G$16*P2_In_OV,0)*0</f>
        <v>0</v>
      </c>
      <c r="D74" s="93">
        <f>IF('Plan Comparison Calculator'!$F$16="PLUS ONLY Out-of-Network",'Plan Comparison Calculator'!$G$16*P2_Out_OV,0)</f>
        <v>0</v>
      </c>
      <c r="E74" s="92">
        <f>IF('Plan Comparison Calculator'!$F$16="In-Network",'Plan Comparison Calculator'!$G$16*Physical_Office-C74,"")</f>
        <v>0</v>
      </c>
      <c r="F74" s="93" t="str">
        <f>IF('Plan Comparison Calculator'!$F$16="PLUS ONLY Out-of-Network",'Plan Comparison Calculator'!$G$16*Physical_Office*OONCostLoad-D74,"")</f>
        <v/>
      </c>
      <c r="G74" s="92">
        <f>IF('Plan Comparison Calculator'!$F$16="In-Network",'Plan Comparison Calculator'!$G$16*Physical_XrayLab,"")</f>
        <v>0</v>
      </c>
      <c r="H74" s="93" t="str">
        <f>IF('Plan Comparison Calculator'!$F$16="PLUS ONLY Out-of-Network",'Plan Comparison Calculator'!$G$16*Physical_XrayLab*OONCostLoad,"")</f>
        <v/>
      </c>
      <c r="I74" s="92"/>
      <c r="J74" s="93"/>
      <c r="K74" s="92"/>
      <c r="L74" s="93"/>
      <c r="M74" s="88"/>
      <c r="N74" s="92">
        <f>IF('Plan Comparison Calculator'!$F$16="In-Network",'Plan Comparison Calculator'!$I$16*P2_In_OV,0)*0</f>
        <v>0</v>
      </c>
      <c r="O74" s="93">
        <f>IF('Plan Comparison Calculator'!$F$16="PLUS ONLY Out-of-Network",'Plan Comparison Calculator'!$I$16*P2_Out_OV,0)</f>
        <v>0</v>
      </c>
      <c r="P74" s="92">
        <f>IF('Plan Comparison Calculator'!$F$16="In-Network",'Plan Comparison Calculator'!$I$16*Physical_Office-N74,"")</f>
        <v>0</v>
      </c>
      <c r="Q74" s="93" t="str">
        <f>IF('Plan Comparison Calculator'!$F$16="PLUS ONLY Out-of-Network",'Plan Comparison Calculator'!$I$16*Physical_Office*OONCostLoad-O74,"")</f>
        <v/>
      </c>
      <c r="R74" s="92">
        <f>IF('Plan Comparison Calculator'!$F$16="In-Network",'Plan Comparison Calculator'!$I$16*Physical_XrayLab,"")</f>
        <v>0</v>
      </c>
      <c r="S74" s="93" t="str">
        <f>IF('Plan Comparison Calculator'!$F$16="PLUS ONLY Out-of-Network",'Plan Comparison Calculator'!$I$16*Physical_XrayLab*OONCostLoad,"")</f>
        <v/>
      </c>
      <c r="T74" s="92"/>
      <c r="U74" s="93"/>
      <c r="V74" s="92"/>
      <c r="W74" s="93"/>
      <c r="X74" s="88"/>
      <c r="Y74" s="92">
        <f>IF('Plan Comparison Calculator'!$F$16="In-Network",'Plan Comparison Calculator'!$J$16*P2_In_OV,0)*0</f>
        <v>0</v>
      </c>
      <c r="Z74" s="93">
        <f>IF('Plan Comparison Calculator'!$F$16="PLUS ONLY Out-of-Network",'Plan Comparison Calculator'!$J$16*P2_Out_OV,0)</f>
        <v>0</v>
      </c>
      <c r="AA74" s="92">
        <f>IF('Plan Comparison Calculator'!$F$16="In-Network",'Plan Comparison Calculator'!$J$16*Physical_Office-Y74,"")</f>
        <v>0</v>
      </c>
      <c r="AB74" s="93" t="str">
        <f>IF('Plan Comparison Calculator'!$F$16="PLUS ONLY Out-of-Network",'Plan Comparison Calculator'!$J$16*Physical_Office*OONCostLoad-Z74,"")</f>
        <v/>
      </c>
      <c r="AC74" s="92">
        <f>IF('Plan Comparison Calculator'!$F$16="In-Network",'Plan Comparison Calculator'!$J$16*Physical_XrayLab,"")</f>
        <v>0</v>
      </c>
      <c r="AD74" s="93" t="str">
        <f>IF('Plan Comparison Calculator'!$F$16="PLUS ONLY Out-of-Network",'Plan Comparison Calculator'!$J$16*Physical_XrayLab*OONCostLoad,"")</f>
        <v/>
      </c>
      <c r="AE74" s="92"/>
      <c r="AF74" s="93"/>
      <c r="AG74" s="92"/>
      <c r="AH74" s="93"/>
    </row>
    <row r="75" spans="1:34" ht="4.5" customHeight="1" x14ac:dyDescent="0.25">
      <c r="B75" s="94"/>
      <c r="C75" s="92"/>
      <c r="D75" s="93"/>
      <c r="E75" s="92"/>
      <c r="F75" s="93"/>
      <c r="G75" s="92"/>
      <c r="H75" s="93"/>
      <c r="I75" s="92"/>
      <c r="J75" s="93"/>
      <c r="K75" s="92"/>
      <c r="L75" s="93"/>
      <c r="M75" s="88"/>
      <c r="N75" s="92"/>
      <c r="O75" s="93"/>
      <c r="P75" s="92"/>
      <c r="Q75" s="93"/>
      <c r="R75" s="92"/>
      <c r="S75" s="93"/>
      <c r="T75" s="92"/>
      <c r="U75" s="93"/>
      <c r="V75" s="92"/>
      <c r="W75" s="93"/>
      <c r="X75" s="88"/>
      <c r="Y75" s="92"/>
      <c r="Z75" s="93"/>
      <c r="AA75" s="92"/>
      <c r="AB75" s="93"/>
      <c r="AC75" s="92"/>
      <c r="AD75" s="93"/>
      <c r="AE75" s="92"/>
      <c r="AF75" s="93"/>
      <c r="AG75" s="92"/>
      <c r="AH75" s="93"/>
    </row>
    <row r="76" spans="1:34" ht="15" x14ac:dyDescent="0.25">
      <c r="B76" s="94" t="s">
        <v>47</v>
      </c>
      <c r="C76" s="92">
        <f>IF('Plan Comparison Calculator'!$F$18="In-Network",'Plan Comparison Calculator'!$G$18*P2_In_OV,"")</f>
        <v>0</v>
      </c>
      <c r="D76" s="93" t="str">
        <f>IF('Plan Comparison Calculator'!$F$18="PLUS ONLY Out-of-Network",'Plan Comparison Calculator'!$G$18*P2_Out_OV,"")</f>
        <v/>
      </c>
      <c r="E76" s="92">
        <f>IF('Plan Comparison Calculator'!$F$18="In-Network",'Plan Comparison Calculator'!$G$18*Primary_Office-C76,"")</f>
        <v>0</v>
      </c>
      <c r="F76" s="93" t="str">
        <f>IF('Plan Comparison Calculator'!$F$18="PLUS ONLY Out-of-Network",'Plan Comparison Calculator'!$G$18*Primary_Office*OONCostLoad-D76,"")</f>
        <v/>
      </c>
      <c r="G76" s="92">
        <f>IF('Plan Comparison Calculator'!$F$18="In-Network",'Plan Comparison Calculator'!$G$18*Primary_XrayLab,"")</f>
        <v>0</v>
      </c>
      <c r="H76" s="93" t="str">
        <f>IF('Plan Comparison Calculator'!$F$18="PLUS ONLY Out-of-Network",'Plan Comparison Calculator'!$G$18*Primary_XrayLab*OONCostLoad,"")</f>
        <v/>
      </c>
      <c r="I76" s="92"/>
      <c r="J76" s="93"/>
      <c r="K76" s="92"/>
      <c r="L76" s="93"/>
      <c r="M76" s="88"/>
      <c r="N76" s="92">
        <f>IF('Plan Comparison Calculator'!$F$18="In-Network",'Plan Comparison Calculator'!$I$18*P2_In_OV,"")</f>
        <v>0</v>
      </c>
      <c r="O76" s="93" t="str">
        <f>IF('Plan Comparison Calculator'!$F$18="PLUS ONLY Out-of-Network",'Plan Comparison Calculator'!$I$18*P2_Out_OV,"")</f>
        <v/>
      </c>
      <c r="P76" s="92">
        <f>IF('Plan Comparison Calculator'!$F$18="In-Network",'Plan Comparison Calculator'!$I$18*Primary_Office-N76,"")</f>
        <v>0</v>
      </c>
      <c r="Q76" s="93" t="str">
        <f>IF('Plan Comparison Calculator'!$F$18="PLUS ONLY Out-of-Network",'Plan Comparison Calculator'!$I$18*Primary_Office*OONCostLoad-O76,"")</f>
        <v/>
      </c>
      <c r="R76" s="92">
        <f>IF('Plan Comparison Calculator'!$F$18="In-Network",'Plan Comparison Calculator'!$I$18*Primary_XrayLab,"")</f>
        <v>0</v>
      </c>
      <c r="S76" s="93" t="str">
        <f>IF('Plan Comparison Calculator'!$F$18="PLUS ONLY Out-of-Network",'Plan Comparison Calculator'!$I$18*Primary_XrayLab*OONCostLoad,"")</f>
        <v/>
      </c>
      <c r="T76" s="92"/>
      <c r="U76" s="93"/>
      <c r="V76" s="92"/>
      <c r="W76" s="93"/>
      <c r="X76" s="88"/>
      <c r="Y76" s="92">
        <f>IF('Plan Comparison Calculator'!$F$18="In-Network",'Plan Comparison Calculator'!$J$18*P2_In_OV,"")</f>
        <v>0</v>
      </c>
      <c r="Z76" s="93" t="str">
        <f>IF('Plan Comparison Calculator'!$F$18="PLUS ONLY Out-of-Network",'Plan Comparison Calculator'!$J$18*P2_Out_OV,"")</f>
        <v/>
      </c>
      <c r="AA76" s="92">
        <f>IF('Plan Comparison Calculator'!$F$18="In-Network",'Plan Comparison Calculator'!$J$18*Primary_Office-Y76,"")</f>
        <v>0</v>
      </c>
      <c r="AB76" s="93" t="str">
        <f>IF('Plan Comparison Calculator'!$F$18="PLUS ONLY Out-of-Network",'Plan Comparison Calculator'!$J$18*Primary_Office*OONCostLoad-Z76,"")</f>
        <v/>
      </c>
      <c r="AC76" s="92">
        <f>IF('Plan Comparison Calculator'!$F$18="In-Network",'Plan Comparison Calculator'!$J$18*Primary_XrayLab,"")</f>
        <v>0</v>
      </c>
      <c r="AD76" s="93" t="str">
        <f>IF('Plan Comparison Calculator'!$F$18="PLUS ONLY Out-of-Network",'Plan Comparison Calculator'!$J$18*Primary_XrayLab*OONCostLoad,"")</f>
        <v/>
      </c>
      <c r="AE76" s="92"/>
      <c r="AF76" s="93"/>
      <c r="AG76" s="92"/>
      <c r="AH76" s="93"/>
    </row>
    <row r="77" spans="1:34" ht="4.5" customHeight="1" x14ac:dyDescent="0.25">
      <c r="B77" s="94"/>
      <c r="C77" s="92"/>
      <c r="D77" s="93"/>
      <c r="E77" s="92"/>
      <c r="F77" s="93"/>
      <c r="G77" s="92"/>
      <c r="H77" s="93"/>
      <c r="I77" s="92"/>
      <c r="J77" s="93"/>
      <c r="K77" s="92"/>
      <c r="L77" s="93"/>
      <c r="M77" s="88"/>
      <c r="N77" s="92"/>
      <c r="O77" s="93"/>
      <c r="P77" s="92"/>
      <c r="Q77" s="93"/>
      <c r="R77" s="92"/>
      <c r="S77" s="93"/>
      <c r="T77" s="92"/>
      <c r="U77" s="93"/>
      <c r="V77" s="92"/>
      <c r="W77" s="93"/>
      <c r="X77" s="88"/>
      <c r="Y77" s="92"/>
      <c r="Z77" s="93"/>
      <c r="AA77" s="92"/>
      <c r="AB77" s="93"/>
      <c r="AC77" s="92"/>
      <c r="AD77" s="93"/>
      <c r="AE77" s="92"/>
      <c r="AF77" s="93"/>
      <c r="AG77" s="92"/>
      <c r="AH77" s="93"/>
    </row>
    <row r="78" spans="1:34" ht="16.5" customHeight="1" x14ac:dyDescent="0.25">
      <c r="A78" s="231" t="str">
        <f>P2_Plan</f>
        <v>Access PPO</v>
      </c>
      <c r="B78" s="94" t="s">
        <v>48</v>
      </c>
      <c r="C78" s="92">
        <f>IF('Plan Comparison Calculator'!$F$20="In-Network",'Plan Comparison Calculator'!$G$20*P2_In_OV,"")</f>
        <v>0</v>
      </c>
      <c r="D78" s="93" t="str">
        <f>IF('Plan Comparison Calculator'!$F$20="PLUS ONLY Out-of-Network",'Plan Comparison Calculator'!$G$20*P2_Out_OV,"")</f>
        <v/>
      </c>
      <c r="E78" s="92">
        <f>IF('Plan Comparison Calculator'!$F$20="In-Network",Specialist_Office*'Plan Comparison Calculator'!$G$20-C78,"")</f>
        <v>0</v>
      </c>
      <c r="F78" s="93" t="str">
        <f>IF('Plan Comparison Calculator'!$F$20="PLUS ONLY Out-of-Network",Specialist_Office*'Plan Comparison Calculator'!$G$20*OONCostLoad-D78,"")</f>
        <v/>
      </c>
      <c r="G78" s="92">
        <f>IF('Plan Comparison Calculator'!$F$20="In-Network",Specialist_XrayLab*'Plan Comparison Calculator'!$G$20,"")</f>
        <v>0</v>
      </c>
      <c r="H78" s="93" t="str">
        <f>IF('Plan Comparison Calculator'!$F$20="PLUS ONLY Out-of-Network",Specialist_XrayLab*'Plan Comparison Calculator'!$G$20*OONCostLoad,"")</f>
        <v/>
      </c>
      <c r="I78" s="92"/>
      <c r="J78" s="93"/>
      <c r="K78" s="92"/>
      <c r="L78" s="93"/>
      <c r="M78" s="88"/>
      <c r="N78" s="92">
        <f>IF('Plan Comparison Calculator'!$F$20="In-Network",'Plan Comparison Calculator'!$I$20*P2_In_OV,"")</f>
        <v>0</v>
      </c>
      <c r="O78" s="93" t="str">
        <f>IF('Plan Comparison Calculator'!$F$20="PLUS ONLY Out-of-Network",'Plan Comparison Calculator'!$I$20*P2_Out_OV,"")</f>
        <v/>
      </c>
      <c r="P78" s="92">
        <f>IF('Plan Comparison Calculator'!$F$20="In-Network",Specialist_Office*'Plan Comparison Calculator'!$I$20-N78,"")</f>
        <v>0</v>
      </c>
      <c r="Q78" s="93" t="str">
        <f>IF('Plan Comparison Calculator'!$F$20="PLUS ONLY Out-of-Network",Specialist_Office*'Plan Comparison Calculator'!$I$20*OONCostLoad-O78,"")</f>
        <v/>
      </c>
      <c r="R78" s="92">
        <f>IF('Plan Comparison Calculator'!$F$20="In-Network",Specialist_XrayLab*'Plan Comparison Calculator'!$I$20,"")</f>
        <v>0</v>
      </c>
      <c r="S78" s="93" t="str">
        <f>IF('Plan Comparison Calculator'!$F$20="PLUS ONLY Out-of-Network",Specialist_XrayLab*'Plan Comparison Calculator'!$I$20*OONCostLoad,"")</f>
        <v/>
      </c>
      <c r="T78" s="92"/>
      <c r="U78" s="93"/>
      <c r="V78" s="92"/>
      <c r="W78" s="93"/>
      <c r="X78" s="88"/>
      <c r="Y78" s="92">
        <f>IF('Plan Comparison Calculator'!$F$20="In-Network",'Plan Comparison Calculator'!$J$20*P2_In_OV,"")</f>
        <v>0</v>
      </c>
      <c r="Z78" s="93" t="str">
        <f>IF('Plan Comparison Calculator'!$F$20="PLUS ONLY Out-of-Network",'Plan Comparison Calculator'!$J$20*P2_Out_OV,"")</f>
        <v/>
      </c>
      <c r="AA78" s="92">
        <f>IF('Plan Comparison Calculator'!$F$20="In-Network",Specialist_Office*'Plan Comparison Calculator'!$J$20-Y78,"")</f>
        <v>0</v>
      </c>
      <c r="AB78" s="93" t="str">
        <f>IF('Plan Comparison Calculator'!$F$20="PLUS ONLY Out-of-Network",Specialist_Office*'Plan Comparison Calculator'!$J$20*OONCostLoad-Z78,"")</f>
        <v/>
      </c>
      <c r="AC78" s="92">
        <f>IF('Plan Comparison Calculator'!$F$20="In-Network",Specialist_XrayLab*'Plan Comparison Calculator'!$J$20,"")</f>
        <v>0</v>
      </c>
      <c r="AD78" s="93" t="str">
        <f>IF('Plan Comparison Calculator'!$F$20="PLUS ONLY Out-of-Network",Specialist_XrayLab*'Plan Comparison Calculator'!$J$20*OONCostLoad,"")</f>
        <v/>
      </c>
      <c r="AE78" s="92"/>
      <c r="AF78" s="93"/>
      <c r="AG78" s="92"/>
      <c r="AH78" s="93"/>
    </row>
    <row r="79" spans="1:34" ht="4.5" customHeight="1" x14ac:dyDescent="0.25">
      <c r="A79" s="231"/>
      <c r="B79" s="94"/>
      <c r="C79" s="92"/>
      <c r="D79" s="93"/>
      <c r="E79" s="92"/>
      <c r="F79" s="93"/>
      <c r="G79" s="92"/>
      <c r="H79" s="93"/>
      <c r="I79" s="92"/>
      <c r="J79" s="93"/>
      <c r="K79" s="92"/>
      <c r="L79" s="93"/>
      <c r="M79" s="88"/>
      <c r="N79" s="92"/>
      <c r="O79" s="93"/>
      <c r="P79" s="92"/>
      <c r="Q79" s="93"/>
      <c r="R79" s="92"/>
      <c r="S79" s="93"/>
      <c r="T79" s="92"/>
      <c r="U79" s="93"/>
      <c r="V79" s="92"/>
      <c r="W79" s="93"/>
      <c r="X79" s="88"/>
      <c r="Y79" s="92"/>
      <c r="Z79" s="93"/>
      <c r="AA79" s="92"/>
      <c r="AB79" s="93"/>
      <c r="AC79" s="92"/>
      <c r="AD79" s="93"/>
      <c r="AE79" s="92"/>
      <c r="AF79" s="93"/>
      <c r="AG79" s="92"/>
      <c r="AH79" s="93"/>
    </row>
    <row r="80" spans="1:34" ht="15" x14ac:dyDescent="0.25">
      <c r="A80" s="231"/>
      <c r="B80" s="94" t="s">
        <v>49</v>
      </c>
      <c r="C80" s="92">
        <f>IF('Plan Comparison Calculator'!$F$22="In-Network",'Plan Comparison Calculator'!$G$22*P2_In_ER,"")</f>
        <v>0</v>
      </c>
      <c r="D80" s="93" t="str">
        <f>IF('Plan Comparison Calculator'!$F$22="PLUS ONLY Out-of-Network",'Plan Comparison Calculator'!$G$22*P2_Out_ER,"")</f>
        <v/>
      </c>
      <c r="E80" s="92"/>
      <c r="F80" s="93"/>
      <c r="G80" s="92"/>
      <c r="H80" s="93"/>
      <c r="I80" s="92">
        <f>IF('Plan Comparison Calculator'!$F$22="In-Network",ER*'Plan Comparison Calculator'!$G$22-C80,"")</f>
        <v>0</v>
      </c>
      <c r="J80" s="93" t="str">
        <f>IF('Plan Comparison Calculator'!$F$22="PLUS ONLY Out-of-Network",ER*'Plan Comparison Calculator'!$G$22*OONCostLoad-D80,"")</f>
        <v/>
      </c>
      <c r="K80" s="92"/>
      <c r="L80" s="93"/>
      <c r="M80" s="88"/>
      <c r="N80" s="92">
        <f>IF('Plan Comparison Calculator'!$F$22="In-Network",'Plan Comparison Calculator'!$I$22*P2_In_ER,"")</f>
        <v>0</v>
      </c>
      <c r="O80" s="93" t="str">
        <f>IF('Plan Comparison Calculator'!$F$22="PLUS ONLY Out-of-Network",'Plan Comparison Calculator'!$I$22*P2_Out_ER,"")</f>
        <v/>
      </c>
      <c r="P80" s="92"/>
      <c r="Q80" s="93"/>
      <c r="R80" s="92"/>
      <c r="S80" s="93"/>
      <c r="T80" s="92">
        <f>IF('Plan Comparison Calculator'!$F$22="In-Network",ER*'Plan Comparison Calculator'!$I$22-$N80,"")</f>
        <v>0</v>
      </c>
      <c r="U80" s="93" t="str">
        <f>IF('Plan Comparison Calculator'!$F$22="PLUS ONLY Out-of-Network",ER*'Plan Comparison Calculator'!$I$22*OONCostLoad-O80,"")</f>
        <v/>
      </c>
      <c r="V80" s="92"/>
      <c r="W80" s="93"/>
      <c r="X80" s="88"/>
      <c r="Y80" s="92">
        <f>IF('Plan Comparison Calculator'!$F$22="In-Network",'Plan Comparison Calculator'!$J$22*P2_In_ER,"")</f>
        <v>0</v>
      </c>
      <c r="Z80" s="93" t="str">
        <f>IF('Plan Comparison Calculator'!$F$22="PLUS ONLY Out-of-Network",'Plan Comparison Calculator'!$J$22*P2_Out_ER,"")</f>
        <v/>
      </c>
      <c r="AA80" s="92"/>
      <c r="AB80" s="93"/>
      <c r="AC80" s="92"/>
      <c r="AD80" s="93"/>
      <c r="AE80" s="92">
        <f>IF('Plan Comparison Calculator'!$F$22="In-Network",ER*'Plan Comparison Calculator'!$J$22-$Y80,"")</f>
        <v>0</v>
      </c>
      <c r="AF80" s="93" t="str">
        <f>IF('Plan Comparison Calculator'!$F$22="PLUS ONLY Out-of-Network",ER*'Plan Comparison Calculator'!$J$22*OONCostLoad-Z80,"")</f>
        <v/>
      </c>
      <c r="AG80" s="92"/>
      <c r="AH80" s="93"/>
    </row>
    <row r="81" spans="1:34" ht="4.5" customHeight="1" x14ac:dyDescent="0.25">
      <c r="A81" s="231"/>
      <c r="B81" s="94"/>
      <c r="C81" s="92"/>
      <c r="D81" s="93"/>
      <c r="E81" s="92"/>
      <c r="F81" s="93"/>
      <c r="G81" s="92"/>
      <c r="H81" s="93"/>
      <c r="I81" s="92"/>
      <c r="J81" s="93"/>
      <c r="K81" s="92"/>
      <c r="L81" s="93"/>
      <c r="M81" s="88"/>
      <c r="N81" s="92"/>
      <c r="O81" s="93"/>
      <c r="P81" s="92"/>
      <c r="Q81" s="93"/>
      <c r="R81" s="92"/>
      <c r="S81" s="93"/>
      <c r="T81" s="92"/>
      <c r="U81" s="93"/>
      <c r="V81" s="92"/>
      <c r="W81" s="93"/>
      <c r="X81" s="88"/>
      <c r="Y81" s="92"/>
      <c r="Z81" s="93"/>
      <c r="AA81" s="92"/>
      <c r="AB81" s="93"/>
      <c r="AC81" s="92"/>
      <c r="AD81" s="93"/>
      <c r="AE81" s="92"/>
      <c r="AF81" s="93"/>
      <c r="AG81" s="92"/>
      <c r="AH81" s="93"/>
    </row>
    <row r="82" spans="1:34" ht="15" x14ac:dyDescent="0.25">
      <c r="A82" s="231"/>
      <c r="B82" s="94" t="s">
        <v>50</v>
      </c>
      <c r="C82" s="92"/>
      <c r="D82" s="93"/>
      <c r="E82" s="92"/>
      <c r="F82" s="93"/>
      <c r="G82" s="92">
        <f>IF('Plan Comparison Calculator'!$F$24="In-Network",Lab*'Plan Comparison Calculator'!$G$24,"")</f>
        <v>0</v>
      </c>
      <c r="H82" s="93" t="str">
        <f>IF('Plan Comparison Calculator'!$F$24="PLUS ONLY Out-of-Network",Lab*'Plan Comparison Calculator'!$G$24*OONCostLoad,"")</f>
        <v/>
      </c>
      <c r="I82" s="92"/>
      <c r="J82" s="93"/>
      <c r="K82" s="92"/>
      <c r="L82" s="93"/>
      <c r="M82" s="88"/>
      <c r="N82" s="92"/>
      <c r="O82" s="93"/>
      <c r="P82" s="92"/>
      <c r="Q82" s="93"/>
      <c r="R82" s="92">
        <f>IF('Plan Comparison Calculator'!$F$24="In-Network",Lab*'Plan Comparison Calculator'!$I$24,"")</f>
        <v>0</v>
      </c>
      <c r="S82" s="93" t="str">
        <f>IF('Plan Comparison Calculator'!$F$24="PLUS ONLY Out-of-Network",Lab*'Plan Comparison Calculator'!$I$24*OONCostLoad,"")</f>
        <v/>
      </c>
      <c r="T82" s="92"/>
      <c r="U82" s="93"/>
      <c r="V82" s="92"/>
      <c r="W82" s="93"/>
      <c r="X82" s="88"/>
      <c r="Y82" s="92"/>
      <c r="Z82" s="93"/>
      <c r="AA82" s="92"/>
      <c r="AB82" s="93"/>
      <c r="AC82" s="92">
        <f>IF('Plan Comparison Calculator'!$F$24="In-Network",Lab*'Plan Comparison Calculator'!$J$24,"")</f>
        <v>0</v>
      </c>
      <c r="AD82" s="93" t="str">
        <f>IF('Plan Comparison Calculator'!$F$24="PLUS ONLY Out-of-Network",Lab*'Plan Comparison Calculator'!$J$24*OONCostLoad,"")</f>
        <v/>
      </c>
      <c r="AE82" s="92"/>
      <c r="AF82" s="93"/>
      <c r="AG82" s="92"/>
      <c r="AH82" s="93"/>
    </row>
    <row r="83" spans="1:34" ht="4.5" customHeight="1" x14ac:dyDescent="0.25">
      <c r="A83" s="231"/>
      <c r="B83" s="94"/>
      <c r="C83" s="92"/>
      <c r="D83" s="93"/>
      <c r="E83" s="92"/>
      <c r="F83" s="93"/>
      <c r="G83" s="92"/>
      <c r="H83" s="93"/>
      <c r="I83" s="92"/>
      <c r="J83" s="93"/>
      <c r="K83" s="92"/>
      <c r="L83" s="93"/>
      <c r="M83" s="88"/>
      <c r="N83" s="92"/>
      <c r="O83" s="93"/>
      <c r="P83" s="92"/>
      <c r="Q83" s="93"/>
      <c r="R83" s="92"/>
      <c r="S83" s="93"/>
      <c r="T83" s="92"/>
      <c r="U83" s="93"/>
      <c r="V83" s="92"/>
      <c r="W83" s="93"/>
      <c r="X83" s="88"/>
      <c r="Y83" s="92"/>
      <c r="Z83" s="93"/>
      <c r="AA83" s="92"/>
      <c r="AB83" s="93"/>
      <c r="AC83" s="92"/>
      <c r="AD83" s="93"/>
      <c r="AE83" s="92"/>
      <c r="AF83" s="93"/>
      <c r="AG83" s="92"/>
      <c r="AH83" s="93"/>
    </row>
    <row r="84" spans="1:34" ht="15" x14ac:dyDescent="0.25">
      <c r="A84" s="231"/>
      <c r="B84" s="94" t="s">
        <v>51</v>
      </c>
      <c r="C84" s="92"/>
      <c r="D84" s="93"/>
      <c r="E84" s="92"/>
      <c r="F84" s="93"/>
      <c r="G84" s="92">
        <f>IF('Plan Comparison Calculator'!$F$26="In-Network",Xray*'Plan Comparison Calculator'!$G$26,"")</f>
        <v>0</v>
      </c>
      <c r="H84" s="93" t="str">
        <f>IF('Plan Comparison Calculator'!$F$26="PLUS ONLY Out-of-Network",Xray*'Plan Comparison Calculator'!$G$26*OONCostLoad,"")</f>
        <v/>
      </c>
      <c r="I84" s="92"/>
      <c r="J84" s="93"/>
      <c r="K84" s="92"/>
      <c r="L84" s="93"/>
      <c r="M84" s="88"/>
      <c r="N84" s="92"/>
      <c r="O84" s="93"/>
      <c r="P84" s="92"/>
      <c r="Q84" s="93"/>
      <c r="R84" s="92">
        <f>IF('Plan Comparison Calculator'!$F$26="In-Network",Xray*'Plan Comparison Calculator'!$I$26,"")</f>
        <v>0</v>
      </c>
      <c r="S84" s="93" t="str">
        <f>IF('Plan Comparison Calculator'!$F$26="PLUS ONLY Out-of-Network",Xray*'Plan Comparison Calculator'!$I$26*OONCostLoad,"")</f>
        <v/>
      </c>
      <c r="T84" s="92"/>
      <c r="U84" s="93"/>
      <c r="V84" s="92"/>
      <c r="W84" s="93"/>
      <c r="X84" s="88"/>
      <c r="Y84" s="92"/>
      <c r="Z84" s="93"/>
      <c r="AA84" s="92"/>
      <c r="AB84" s="93"/>
      <c r="AC84" s="92">
        <f>IF('Plan Comparison Calculator'!$F$26="In-Network",Xray*'Plan Comparison Calculator'!$J$26,"")</f>
        <v>0</v>
      </c>
      <c r="AD84" s="93" t="str">
        <f>IF('Plan Comparison Calculator'!$F$26="PLUS ONLY Out-of-Network",Xray*'Plan Comparison Calculator'!$J$26*OONCostLoad,"")</f>
        <v/>
      </c>
      <c r="AE84" s="92"/>
      <c r="AF84" s="93"/>
      <c r="AG84" s="92"/>
      <c r="AH84" s="93"/>
    </row>
    <row r="85" spans="1:34" ht="4.5" customHeight="1" x14ac:dyDescent="0.25">
      <c r="A85" s="231"/>
      <c r="B85" s="94"/>
      <c r="C85" s="92"/>
      <c r="D85" s="93"/>
      <c r="E85" s="92"/>
      <c r="F85" s="93"/>
      <c r="G85" s="92"/>
      <c r="H85" s="93"/>
      <c r="I85" s="92"/>
      <c r="J85" s="93"/>
      <c r="K85" s="92"/>
      <c r="L85" s="93"/>
      <c r="M85" s="88"/>
      <c r="N85" s="92"/>
      <c r="O85" s="93"/>
      <c r="P85" s="92"/>
      <c r="Q85" s="93"/>
      <c r="R85" s="92"/>
      <c r="S85" s="93"/>
      <c r="T85" s="92"/>
      <c r="U85" s="93"/>
      <c r="V85" s="92"/>
      <c r="W85" s="93"/>
      <c r="X85" s="88"/>
      <c r="Y85" s="92"/>
      <c r="Z85" s="93"/>
      <c r="AA85" s="92"/>
      <c r="AB85" s="93"/>
      <c r="AC85" s="92"/>
      <c r="AD85" s="93"/>
      <c r="AE85" s="92"/>
      <c r="AF85" s="93"/>
      <c r="AG85" s="92"/>
      <c r="AH85" s="93"/>
    </row>
    <row r="86" spans="1:34" ht="15" x14ac:dyDescent="0.25">
      <c r="A86" s="231"/>
      <c r="B86" s="94" t="s">
        <v>52</v>
      </c>
      <c r="C86" s="92"/>
      <c r="D86" s="93"/>
      <c r="E86" s="92"/>
      <c r="F86" s="93"/>
      <c r="G86" s="92">
        <f>IF('Plan Comparison Calculator'!$F$28="In-Network",CatScan*'Plan Comparison Calculator'!$G$28,"")</f>
        <v>0</v>
      </c>
      <c r="H86" s="93" t="str">
        <f>IF('Plan Comparison Calculator'!$F$28="PLUS ONLY Out-of-Network",CatScan*'Plan Comparison Calculator'!$G$28*OONCostLoad,"")</f>
        <v/>
      </c>
      <c r="I86" s="92"/>
      <c r="J86" s="93"/>
      <c r="K86" s="92"/>
      <c r="L86" s="93"/>
      <c r="M86" s="88"/>
      <c r="N86" s="92"/>
      <c r="O86" s="93"/>
      <c r="P86" s="92"/>
      <c r="Q86" s="93"/>
      <c r="R86" s="92">
        <f>IF('Plan Comparison Calculator'!$F$28="In-Network",CatScan*'Plan Comparison Calculator'!$I$28,"")</f>
        <v>0</v>
      </c>
      <c r="S86" s="93" t="str">
        <f>IF('Plan Comparison Calculator'!$F$28="PLUS ONLY Out-of-Network",CatScan*'Plan Comparison Calculator'!$I$28*OONCostLoad,"")</f>
        <v/>
      </c>
      <c r="T86" s="92"/>
      <c r="U86" s="93"/>
      <c r="V86" s="92"/>
      <c r="W86" s="93"/>
      <c r="X86" s="88"/>
      <c r="Y86" s="92"/>
      <c r="Z86" s="93"/>
      <c r="AA86" s="92"/>
      <c r="AB86" s="93"/>
      <c r="AC86" s="92">
        <f>IF('Plan Comparison Calculator'!$F$28="In-Network",CatScan*'Plan Comparison Calculator'!$J$28,"")</f>
        <v>0</v>
      </c>
      <c r="AD86" s="93" t="str">
        <f>IF('Plan Comparison Calculator'!$F$28="PLUS ONLY Out-of-Network",CatScan*'Plan Comparison Calculator'!$J$28*OONCostLoad,"")</f>
        <v/>
      </c>
      <c r="AE86" s="92"/>
      <c r="AF86" s="93"/>
      <c r="AG86" s="92"/>
      <c r="AH86" s="93"/>
    </row>
    <row r="87" spans="1:34" ht="4.5" customHeight="1" x14ac:dyDescent="0.25">
      <c r="A87" s="231"/>
      <c r="B87" s="94"/>
      <c r="C87" s="92"/>
      <c r="D87" s="93"/>
      <c r="E87" s="92"/>
      <c r="F87" s="93"/>
      <c r="G87" s="92"/>
      <c r="H87" s="93"/>
      <c r="I87" s="92"/>
      <c r="J87" s="93"/>
      <c r="K87" s="92"/>
      <c r="L87" s="93"/>
      <c r="M87" s="88"/>
      <c r="N87" s="92"/>
      <c r="O87" s="93"/>
      <c r="P87" s="92"/>
      <c r="Q87" s="93"/>
      <c r="R87" s="92"/>
      <c r="S87" s="93"/>
      <c r="T87" s="92"/>
      <c r="U87" s="93"/>
      <c r="V87" s="92"/>
      <c r="W87" s="93"/>
      <c r="X87" s="88"/>
      <c r="Y87" s="92"/>
      <c r="Z87" s="93"/>
      <c r="AA87" s="92"/>
      <c r="AB87" s="93"/>
      <c r="AC87" s="92"/>
      <c r="AD87" s="93"/>
      <c r="AE87" s="92"/>
      <c r="AF87" s="93"/>
      <c r="AG87" s="92"/>
      <c r="AH87" s="93"/>
    </row>
    <row r="88" spans="1:34" ht="15" x14ac:dyDescent="0.25">
      <c r="A88" s="231"/>
      <c r="B88" s="94" t="s">
        <v>53</v>
      </c>
      <c r="C88" s="92">
        <f>IF('Plan Comparison Calculator'!$F$30="In-Network",'Plan Comparison Calculator'!$G$30*P2_In_OP_Surgery_Copay,"")</f>
        <v>0</v>
      </c>
      <c r="D88" s="93" t="str">
        <f>IF('Plan Comparison Calculator'!$F$30="PLUS ONLY Out-of-Network",'Plan Comparison Calculator'!$G$30*P2_Out_OP_Surgery_Copay,"")</f>
        <v/>
      </c>
      <c r="E88" s="92"/>
      <c r="F88" s="93"/>
      <c r="G88" s="92"/>
      <c r="H88" s="93"/>
      <c r="I88" s="92">
        <f>IF('Plan Comparison Calculator'!$F$30="In-Network",Surgery_Facility*'Plan Comparison Calculator'!$G$30-C88,"")</f>
        <v>0</v>
      </c>
      <c r="J88" s="93" t="str">
        <f>IF('Plan Comparison Calculator'!$F$30="PLUS ONLY Out-of-Network",Surgery_Facility*'Plan Comparison Calculator'!$G$30*OONCostLoad-D88,"")</f>
        <v/>
      </c>
      <c r="K88" s="92">
        <f>IF('Plan Comparison Calculator'!$F$30="In-Network",Surgery_Physician*'Plan Comparison Calculator'!$G$30,"")</f>
        <v>0</v>
      </c>
      <c r="L88" s="93" t="str">
        <f>IF('Plan Comparison Calculator'!$F$30="PLUS ONLY Out-of-Network",Surgery_Physician*'Plan Comparison Calculator'!$G$30*OONCostLoad,"")</f>
        <v/>
      </c>
      <c r="M88" s="88"/>
      <c r="N88" s="92">
        <f>IF('Plan Comparison Calculator'!$F$30="In-Network",'Plan Comparison Calculator'!$I$30*P2_In_OP_Surgery_Copay,"")</f>
        <v>0</v>
      </c>
      <c r="O88" s="93" t="str">
        <f>IF('Plan Comparison Calculator'!$F$30="PLUS ONLY Out-of-Network",'Plan Comparison Calculator'!$I$30*P2_Out_OP_Surgery_Copay,"")</f>
        <v/>
      </c>
      <c r="P88" s="92"/>
      <c r="Q88" s="93"/>
      <c r="R88" s="92"/>
      <c r="S88" s="93"/>
      <c r="T88" s="92">
        <f>IF('Plan Comparison Calculator'!$F$30="In-Network",Surgery_Facility*'Plan Comparison Calculator'!$I$30-N88,"")</f>
        <v>0</v>
      </c>
      <c r="U88" s="93" t="str">
        <f>IF('Plan Comparison Calculator'!$F$30="PLUS ONLY Out-of-Network",Surgery_Facility*'Plan Comparison Calculator'!$I$30*OONCostLoad-O88,"")</f>
        <v/>
      </c>
      <c r="V88" s="92">
        <f>IF('Plan Comparison Calculator'!$F$30="In-Network",Surgery_Physician*'Plan Comparison Calculator'!$I$30,"")</f>
        <v>0</v>
      </c>
      <c r="W88" s="93" t="str">
        <f>IF('Plan Comparison Calculator'!$F$30="PLUS ONLY Out-of-Network",Surgery_Physician*'Plan Comparison Calculator'!$I$30*OONCostLoad,"")</f>
        <v/>
      </c>
      <c r="X88" s="88"/>
      <c r="Y88" s="92">
        <f>IF('Plan Comparison Calculator'!$F$30="In-Network",'Plan Comparison Calculator'!$J$30*P2_In_OP_Surgery_Copay,"")</f>
        <v>0</v>
      </c>
      <c r="Z88" s="93" t="str">
        <f>IF('Plan Comparison Calculator'!$F$30="PLUS ONLY Out-of-Network",'Plan Comparison Calculator'!$J$30*P2_Out_OP_Surgery_Copay,"")</f>
        <v/>
      </c>
      <c r="AA88" s="92"/>
      <c r="AB88" s="93"/>
      <c r="AC88" s="92"/>
      <c r="AD88" s="93"/>
      <c r="AE88" s="92">
        <f>IF('Plan Comparison Calculator'!$F$30="In-Network",Surgery_Facility*'Plan Comparison Calculator'!$J$30-Y88,"")</f>
        <v>0</v>
      </c>
      <c r="AF88" s="93" t="str">
        <f>IF('Plan Comparison Calculator'!$F$30="PLUS ONLY Out-of-Network",Surgery_Facility*'Plan Comparison Calculator'!$J$30*OONCostLoad-Z88,"")</f>
        <v/>
      </c>
      <c r="AG88" s="92">
        <f>IF('Plan Comparison Calculator'!$F$30="In-Network",Surgery_Physician*'Plan Comparison Calculator'!$J$30,"")</f>
        <v>0</v>
      </c>
      <c r="AH88" s="93" t="str">
        <f>IF('Plan Comparison Calculator'!$F$30="PLUS ONLY Out-of-Network",Surgery_Physician*'Plan Comparison Calculator'!$J$30*OONCostLoad,"")</f>
        <v/>
      </c>
    </row>
    <row r="89" spans="1:34" ht="4.5" customHeight="1" x14ac:dyDescent="0.25">
      <c r="A89" s="231"/>
      <c r="B89" s="94"/>
      <c r="C89" s="90"/>
      <c r="D89" s="91"/>
      <c r="E89" s="90"/>
      <c r="F89" s="91"/>
      <c r="G89" s="90"/>
      <c r="H89" s="91"/>
      <c r="I89" s="90"/>
      <c r="J89" s="91"/>
      <c r="K89" s="90"/>
      <c r="L89" s="91"/>
      <c r="M89" s="88"/>
      <c r="N89" s="90"/>
      <c r="O89" s="91"/>
      <c r="P89" s="90"/>
      <c r="Q89" s="91"/>
      <c r="R89" s="90"/>
      <c r="S89" s="91"/>
      <c r="T89" s="90"/>
      <c r="U89" s="91"/>
      <c r="V89" s="90"/>
      <c r="W89" s="91"/>
      <c r="X89" s="88"/>
      <c r="Y89" s="90"/>
      <c r="Z89" s="91"/>
      <c r="AA89" s="90"/>
      <c r="AB89" s="91"/>
      <c r="AC89" s="90"/>
      <c r="AD89" s="91"/>
      <c r="AE89" s="90"/>
      <c r="AF89" s="91"/>
      <c r="AG89" s="90"/>
      <c r="AH89" s="91"/>
    </row>
    <row r="90" spans="1:34" ht="15" x14ac:dyDescent="0.25">
      <c r="A90" s="231"/>
      <c r="B90" s="94" t="s">
        <v>54</v>
      </c>
      <c r="C90" s="92">
        <f>IF('Plan Comparison Calculator'!$F$32="In-Network",'Plan Comparison Calculator'!$G$32*P2_In_IP_Hosp_Copay,"")</f>
        <v>0</v>
      </c>
      <c r="D90" s="93" t="str">
        <f>IF('Plan Comparison Calculator'!$F$32="PLUS ONLY Out-of-Network",'Plan Comparison Calculator'!$G$32*P2_Out_IP_Hosp_Copay,"")</f>
        <v/>
      </c>
      <c r="E90" s="90"/>
      <c r="F90" s="91"/>
      <c r="G90" s="92">
        <f>IF('Plan Comparison Calculator'!$F$32="In-Network",IP_XrayLab*'Plan Comparison Calculator'!$G$32,"")</f>
        <v>0</v>
      </c>
      <c r="H90" s="93" t="str">
        <f>IF('Plan Comparison Calculator'!$F$32="PLUS ONLY Out-of-Network",IP_XrayLab*'Plan Comparison Calculator'!$G$32*OONCostLoad,"")</f>
        <v/>
      </c>
      <c r="I90" s="92">
        <f>IF('Plan Comparison Calculator'!$F$32="In-Network",IP_Facility*'Plan Comparison Calculator'!$G$32-C90,"")</f>
        <v>0</v>
      </c>
      <c r="J90" s="93" t="str">
        <f>IF('Plan Comparison Calculator'!$F$32="PLUS ONLY Out-of-Network",IP_Facility*'Plan Comparison Calculator'!$G$32*OONCostLoad-D90,"")</f>
        <v/>
      </c>
      <c r="K90" s="92">
        <f>IF('Plan Comparison Calculator'!$F$32="In-Network",IP_Physician*'Plan Comparison Calculator'!$G$32,"")</f>
        <v>0</v>
      </c>
      <c r="L90" s="93" t="str">
        <f>IF('Plan Comparison Calculator'!$F$32="PLUS ONLY Out-of-Network",IP_Physician*'Plan Comparison Calculator'!$G$32*OONCostLoad,"")</f>
        <v/>
      </c>
      <c r="M90" s="88"/>
      <c r="N90" s="92">
        <f>IF('Plan Comparison Calculator'!$F$32="In-Network",'Plan Comparison Calculator'!$I$32*P2_In_IP_Hosp_Copay,"")</f>
        <v>0</v>
      </c>
      <c r="O90" s="93" t="str">
        <f>IF('Plan Comparison Calculator'!$F$32="PLUS ONLY Out-of-Network",'Plan Comparison Calculator'!$I$32*P2_Out_IP_Hosp_Copay,"")</f>
        <v/>
      </c>
      <c r="P90" s="90"/>
      <c r="Q90" s="91"/>
      <c r="R90" s="92">
        <f>IF('Plan Comparison Calculator'!$F$32="In-Network",IP_XrayLab*'Plan Comparison Calculator'!$I$32,"")</f>
        <v>0</v>
      </c>
      <c r="S90" s="93" t="str">
        <f>IF('Plan Comparison Calculator'!$F$32="PLUS ONLY Out-of-Network",IP_XrayLab*'Plan Comparison Calculator'!$I$32*OONCostLoad,"")</f>
        <v/>
      </c>
      <c r="T90" s="92">
        <f>IF('Plan Comparison Calculator'!$F$32="In-Network",IP_Facility*'Plan Comparison Calculator'!$I$32-N90,"")</f>
        <v>0</v>
      </c>
      <c r="U90" s="93" t="str">
        <f>IF('Plan Comparison Calculator'!$F$32="PLUS ONLY Out-of-Network",IP_Facility*'Plan Comparison Calculator'!$I$32*OONCostLoad-O90,"")</f>
        <v/>
      </c>
      <c r="V90" s="92">
        <f>IF('Plan Comparison Calculator'!$F$32="In-Network",IP_Physician*'Plan Comparison Calculator'!$I$32,"")</f>
        <v>0</v>
      </c>
      <c r="W90" s="93" t="str">
        <f>IF('Plan Comparison Calculator'!$F$32="PLUS ONLY Out-of-Network",IP_Physician*'Plan Comparison Calculator'!$I$32*OONCostLoad,"")</f>
        <v/>
      </c>
      <c r="X90" s="88"/>
      <c r="Y90" s="92">
        <f>IF('Plan Comparison Calculator'!$F$32="In-Network",'Plan Comparison Calculator'!$J$32*P2_In_IP_Hosp_Copay,"")</f>
        <v>0</v>
      </c>
      <c r="Z90" s="93" t="str">
        <f>IF('Plan Comparison Calculator'!$F$32="PLUS ONLY Out-of-Network",'Plan Comparison Calculator'!$J$32*P2_Out_IP_Hosp_Copay,"")</f>
        <v/>
      </c>
      <c r="AA90" s="90"/>
      <c r="AB90" s="91"/>
      <c r="AC90" s="92">
        <f>IF('Plan Comparison Calculator'!$F$32="In-Network",IP_XrayLab*'Plan Comparison Calculator'!$J$32,"")</f>
        <v>0</v>
      </c>
      <c r="AD90" s="93" t="str">
        <f>IF('Plan Comparison Calculator'!$F$32="PLUS ONLY Out-of-Network",IP_XrayLab*'Plan Comparison Calculator'!$J$32*OONCostLoad,"")</f>
        <v/>
      </c>
      <c r="AE90" s="92">
        <f>IF('Plan Comparison Calculator'!$F$32="In-Network",IP_Facility*'Plan Comparison Calculator'!$J$32-Y90,"")</f>
        <v>0</v>
      </c>
      <c r="AF90" s="93" t="str">
        <f>IF('Plan Comparison Calculator'!$F$32="PLUS ONLY Out-of-Network",IP_Facility*'Plan Comparison Calculator'!$J$32*OONCostLoad-Z90,"")</f>
        <v/>
      </c>
      <c r="AG90" s="92">
        <f>IF('Plan Comparison Calculator'!$F$32="In-Network",IP_Physician*'Plan Comparison Calculator'!$J$32,"")</f>
        <v>0</v>
      </c>
      <c r="AH90" s="93" t="str">
        <f>IF('Plan Comparison Calculator'!$F$32="PLUS ONLY Out-of-Network",IP_Physician*'Plan Comparison Calculator'!$J$32*OONCostLoad,"")</f>
        <v/>
      </c>
    </row>
    <row r="91" spans="1:34" ht="15" x14ac:dyDescent="0.25">
      <c r="A91" s="231"/>
      <c r="B91" s="86"/>
      <c r="C91" s="90"/>
      <c r="D91" s="91"/>
      <c r="E91" s="90"/>
      <c r="F91" s="91"/>
      <c r="G91" s="90"/>
      <c r="H91" s="91"/>
      <c r="I91" s="90"/>
      <c r="J91" s="91"/>
      <c r="K91" s="90"/>
      <c r="L91" s="91"/>
      <c r="M91" s="88"/>
      <c r="N91" s="90"/>
      <c r="O91" s="91"/>
      <c r="P91" s="90"/>
      <c r="Q91" s="91"/>
      <c r="R91" s="90"/>
      <c r="S91" s="91"/>
      <c r="T91" s="90"/>
      <c r="U91" s="91"/>
      <c r="V91" s="90"/>
      <c r="W91" s="91"/>
      <c r="X91" s="88"/>
      <c r="Y91" s="90"/>
      <c r="Z91" s="91"/>
      <c r="AA91" s="90"/>
      <c r="AB91" s="91"/>
      <c r="AC91" s="90"/>
      <c r="AD91" s="91"/>
      <c r="AE91" s="90"/>
      <c r="AF91" s="91"/>
      <c r="AG91" s="90"/>
      <c r="AH91" s="91"/>
    </row>
    <row r="92" spans="1:34" ht="15" x14ac:dyDescent="0.25">
      <c r="A92" s="231"/>
      <c r="B92" s="86"/>
      <c r="C92" s="90"/>
      <c r="D92" s="91"/>
      <c r="E92" s="90"/>
      <c r="F92" s="91"/>
      <c r="G92" s="90"/>
      <c r="H92" s="91"/>
      <c r="I92" s="90"/>
      <c r="J92" s="91"/>
      <c r="K92" s="90"/>
      <c r="L92" s="91"/>
      <c r="M92" s="88"/>
      <c r="N92" s="90"/>
      <c r="O92" s="91"/>
      <c r="P92" s="90"/>
      <c r="Q92" s="91"/>
      <c r="R92" s="90"/>
      <c r="S92" s="91"/>
      <c r="T92" s="90"/>
      <c r="U92" s="91"/>
      <c r="V92" s="90"/>
      <c r="W92" s="91"/>
      <c r="X92" s="88"/>
      <c r="Y92" s="90"/>
      <c r="Z92" s="91"/>
      <c r="AA92" s="90"/>
      <c r="AB92" s="91"/>
      <c r="AC92" s="90"/>
      <c r="AD92" s="91"/>
      <c r="AE92" s="90"/>
      <c r="AF92" s="91"/>
      <c r="AG92" s="90"/>
      <c r="AH92" s="91"/>
    </row>
    <row r="93" spans="1:34" ht="15" x14ac:dyDescent="0.25">
      <c r="A93" s="231"/>
      <c r="B93" s="86"/>
      <c r="C93" s="90"/>
      <c r="D93" s="91"/>
      <c r="E93" s="90"/>
      <c r="F93" s="91"/>
      <c r="G93" s="90"/>
      <c r="H93" s="91"/>
      <c r="I93" s="90"/>
      <c r="J93" s="91"/>
      <c r="K93" s="90"/>
      <c r="L93" s="91"/>
      <c r="M93" s="88"/>
      <c r="N93" s="90"/>
      <c r="O93" s="91"/>
      <c r="P93" s="90"/>
      <c r="Q93" s="91"/>
      <c r="R93" s="90"/>
      <c r="S93" s="91"/>
      <c r="T93" s="90"/>
      <c r="U93" s="91"/>
      <c r="V93" s="90"/>
      <c r="W93" s="91"/>
      <c r="X93" s="88"/>
      <c r="Y93" s="90"/>
      <c r="Z93" s="91"/>
      <c r="AA93" s="90"/>
      <c r="AB93" s="91"/>
      <c r="AC93" s="90"/>
      <c r="AD93" s="91"/>
      <c r="AE93" s="90"/>
      <c r="AF93" s="91"/>
      <c r="AG93" s="90"/>
      <c r="AH93" s="91"/>
    </row>
    <row r="94" spans="1:34" ht="15" x14ac:dyDescent="0.25">
      <c r="A94" s="231"/>
      <c r="B94" s="86"/>
      <c r="C94" s="90">
        <f>SUM(C74:C90,C68)</f>
        <v>0</v>
      </c>
      <c r="D94" s="91">
        <f>SUM(D74:D90,D68)</f>
        <v>0</v>
      </c>
      <c r="E94" s="90">
        <f>SUM(E76:E90,E68)</f>
        <v>0</v>
      </c>
      <c r="F94" s="91">
        <f>SUM(F76:F90,F68)</f>
        <v>0</v>
      </c>
      <c r="G94" s="90">
        <f>MAX(SUM(G68:G86)-P2_In_LabMax,0)+SUM(G89:G90)</f>
        <v>0</v>
      </c>
      <c r="H94" s="91">
        <f>MAX(SUM(H68:H86)-P2_Out_LabMax,0)+SUM(H89:H90)</f>
        <v>0</v>
      </c>
      <c r="I94" s="90">
        <f>SUM(I76:I90,I68)</f>
        <v>0</v>
      </c>
      <c r="J94" s="91">
        <f>SUM(J76:J90,J68)</f>
        <v>0</v>
      </c>
      <c r="K94" s="90">
        <f>SUM(K76:K90,K68)</f>
        <v>0</v>
      </c>
      <c r="L94" s="91">
        <f>SUM(L76:L90,L68)</f>
        <v>0</v>
      </c>
      <c r="M94" s="88"/>
      <c r="N94" s="90">
        <f>SUM(N74:N90,N68)</f>
        <v>0</v>
      </c>
      <c r="O94" s="91">
        <f>SUM(O74:O90,O68)</f>
        <v>0</v>
      </c>
      <c r="P94" s="90">
        <f>SUM(P76:P90,P68)</f>
        <v>0</v>
      </c>
      <c r="Q94" s="91">
        <f>SUM(Q76:Q90,Q68)</f>
        <v>0</v>
      </c>
      <c r="R94" s="90">
        <f>MAX(SUM(R68:R86)-P2_In_LabMax,0)+SUM(R89:R90)</f>
        <v>0</v>
      </c>
      <c r="S94" s="91">
        <f>MAX(SUM(S68:S86)-P2_Out_LabMax,0)+SUM(S89:S90)</f>
        <v>0</v>
      </c>
      <c r="T94" s="90">
        <f>SUM(T76:T90,T68)</f>
        <v>0</v>
      </c>
      <c r="U94" s="91">
        <f>SUM(U76:U90,U68)</f>
        <v>0</v>
      </c>
      <c r="V94" s="90">
        <f>SUM(V76:V90,V68)</f>
        <v>0</v>
      </c>
      <c r="W94" s="91">
        <f>SUM(W76:W90,W68)</f>
        <v>0</v>
      </c>
      <c r="X94" s="88"/>
      <c r="Y94" s="90">
        <f>SUM(Y74:Y90,Y68)</f>
        <v>0</v>
      </c>
      <c r="Z94" s="91">
        <f>SUM(Z74:Z90,Z68)</f>
        <v>0</v>
      </c>
      <c r="AA94" s="90">
        <f>SUM(AA76:AA90,AA68)</f>
        <v>0</v>
      </c>
      <c r="AB94" s="91">
        <f>SUM(AB76:AB90,AB68)</f>
        <v>0</v>
      </c>
      <c r="AC94" s="90">
        <f>MAX(SUM(AC68:AC86)-P2_In_LabMax,0)+SUM(AC89:AC90)</f>
        <v>0</v>
      </c>
      <c r="AD94" s="91">
        <f>MAX(SUM(AD68:AD86)-P2_Out_LabMax,0)+SUM(AD89:AD90)</f>
        <v>0</v>
      </c>
      <c r="AE94" s="90">
        <f>SUM(AE76:AE90,AE68)</f>
        <v>0</v>
      </c>
      <c r="AF94" s="91">
        <f>SUM(AF76:AF90,AF68)</f>
        <v>0</v>
      </c>
      <c r="AG94" s="90">
        <f>SUM(AG76:AG90,AG68)</f>
        <v>0</v>
      </c>
      <c r="AH94" s="91">
        <f>SUM(AH76:AH90,AH68)</f>
        <v>0</v>
      </c>
    </row>
    <row r="95" spans="1:34" ht="14.25" x14ac:dyDescent="0.2">
      <c r="A95" s="231"/>
      <c r="B95" s="86"/>
      <c r="C95" s="87"/>
      <c r="D95" s="87"/>
      <c r="E95" s="87"/>
      <c r="F95" s="87"/>
      <c r="G95" s="87"/>
      <c r="H95" s="87"/>
      <c r="I95" s="87"/>
      <c r="J95" s="87"/>
      <c r="K95" s="87"/>
      <c r="L95" s="87"/>
      <c r="M95" s="88"/>
      <c r="N95" s="87"/>
      <c r="O95" s="87"/>
      <c r="P95" s="87"/>
      <c r="Q95" s="87"/>
      <c r="R95" s="87"/>
      <c r="S95" s="87"/>
      <c r="T95" s="87"/>
      <c r="U95" s="87"/>
      <c r="V95" s="87"/>
      <c r="W95" s="87"/>
      <c r="X95" s="88"/>
      <c r="Y95" s="87"/>
      <c r="Z95" s="87"/>
      <c r="AA95" s="87"/>
      <c r="AB95" s="87"/>
      <c r="AC95" s="87"/>
    </row>
    <row r="96" spans="1:34" ht="15" customHeight="1" x14ac:dyDescent="0.25">
      <c r="A96" s="231"/>
      <c r="B96" s="86"/>
      <c r="C96" s="95" t="s">
        <v>55</v>
      </c>
      <c r="D96" s="87"/>
      <c r="E96" s="87"/>
      <c r="F96" s="87"/>
      <c r="G96" s="87"/>
      <c r="H96" s="87"/>
      <c r="I96" s="87"/>
      <c r="J96" s="87"/>
      <c r="K96" s="87"/>
      <c r="L96" s="87"/>
      <c r="M96" s="88"/>
      <c r="N96" s="87"/>
      <c r="O96" s="87"/>
      <c r="P96" s="87"/>
      <c r="Q96" s="87"/>
      <c r="R96" s="87"/>
      <c r="S96" s="87"/>
      <c r="T96" s="87"/>
      <c r="U96" s="87"/>
      <c r="V96" s="87"/>
      <c r="W96" s="87"/>
      <c r="X96" s="88"/>
      <c r="Y96" s="87"/>
      <c r="Z96" s="87"/>
      <c r="AA96" s="87"/>
      <c r="AB96" s="87"/>
      <c r="AC96" s="87"/>
    </row>
    <row r="97" spans="1:29" ht="14.25" x14ac:dyDescent="0.2">
      <c r="A97" s="231"/>
      <c r="B97" s="86"/>
      <c r="C97" s="96">
        <f>P2_In_Rx1*'Plan Comparison Calculator'!$F$38+P2_Out_Rx1*'Plan Comparison Calculator'!$K$38</f>
        <v>0</v>
      </c>
      <c r="D97" s="96"/>
      <c r="E97" s="87"/>
      <c r="F97" s="87"/>
      <c r="G97" s="87"/>
      <c r="H97" s="87"/>
      <c r="I97" s="87"/>
      <c r="J97" s="87"/>
      <c r="K97" s="87"/>
      <c r="L97" s="87"/>
      <c r="M97" s="88"/>
      <c r="N97" s="96"/>
      <c r="O97" s="96"/>
      <c r="P97" s="87"/>
      <c r="Q97" s="87"/>
      <c r="R97" s="87"/>
      <c r="S97" s="87"/>
      <c r="T97" s="87"/>
      <c r="U97" s="87"/>
      <c r="V97" s="87"/>
      <c r="W97" s="87"/>
      <c r="X97" s="88"/>
      <c r="Y97" s="96"/>
      <c r="Z97" s="87"/>
      <c r="AA97" s="87"/>
      <c r="AB97" s="87"/>
      <c r="AC97" s="87"/>
    </row>
    <row r="98" spans="1:29" ht="14.25" x14ac:dyDescent="0.2">
      <c r="A98" s="231"/>
      <c r="B98" s="86"/>
      <c r="C98" s="96">
        <f>P2_In_Rx2*'Plan Comparison Calculator'!$F$39+P2_Out_Rx2*'Plan Comparison Calculator'!$K$39</f>
        <v>0</v>
      </c>
      <c r="D98" s="96"/>
      <c r="E98" s="87"/>
      <c r="F98" s="87"/>
      <c r="G98" s="87"/>
      <c r="H98" s="87"/>
      <c r="I98" s="87"/>
      <c r="J98" s="87"/>
      <c r="K98" s="87"/>
      <c r="L98" s="87"/>
      <c r="M98" s="88"/>
      <c r="N98" s="96"/>
      <c r="O98" s="96"/>
      <c r="P98" s="87"/>
      <c r="Q98" s="87"/>
      <c r="R98" s="87"/>
      <c r="S98" s="87"/>
      <c r="T98" s="87"/>
      <c r="U98" s="87"/>
      <c r="V98" s="87"/>
      <c r="W98" s="87"/>
      <c r="X98" s="88"/>
      <c r="Y98" s="96"/>
      <c r="Z98" s="87"/>
      <c r="AA98" s="87"/>
      <c r="AB98" s="87"/>
      <c r="AC98" s="87"/>
    </row>
    <row r="99" spans="1:29" ht="14.25" x14ac:dyDescent="0.2">
      <c r="A99" s="231"/>
      <c r="B99" s="86"/>
      <c r="C99" s="96">
        <f>P2_In_Rx3*'Plan Comparison Calculator'!$F$40+P2_Out_Rx3*'Plan Comparison Calculator'!$K$40</f>
        <v>0</v>
      </c>
      <c r="D99" s="96"/>
      <c r="E99" s="87"/>
      <c r="F99" s="87"/>
      <c r="G99" s="87"/>
      <c r="H99" s="87"/>
      <c r="I99" s="87"/>
      <c r="J99" s="87"/>
      <c r="K99" s="87"/>
      <c r="L99" s="87"/>
      <c r="M99" s="88"/>
      <c r="N99" s="96"/>
      <c r="O99" s="96"/>
      <c r="P99" s="87"/>
      <c r="Q99" s="87"/>
      <c r="R99" s="87"/>
      <c r="S99" s="87"/>
      <c r="T99" s="87"/>
      <c r="U99" s="87"/>
      <c r="V99" s="87"/>
      <c r="W99" s="87"/>
      <c r="X99" s="88"/>
      <c r="Y99" s="96"/>
      <c r="Z99" s="87"/>
      <c r="AA99" s="87"/>
      <c r="AB99" s="87"/>
      <c r="AC99" s="87"/>
    </row>
    <row r="100" spans="1:29" ht="14.25" x14ac:dyDescent="0.2">
      <c r="A100" s="231"/>
      <c r="B100" s="86"/>
      <c r="C100" s="87"/>
      <c r="D100" s="87"/>
      <c r="E100" s="87"/>
      <c r="F100" s="87"/>
      <c r="G100" s="87"/>
      <c r="H100" s="87"/>
      <c r="I100" s="87"/>
      <c r="J100" s="87"/>
      <c r="K100" s="87"/>
      <c r="L100" s="87"/>
      <c r="M100" s="88"/>
      <c r="N100" s="97"/>
      <c r="O100" s="97"/>
      <c r="P100" s="97"/>
      <c r="Q100" s="97"/>
      <c r="R100" s="97"/>
      <c r="S100" s="97"/>
      <c r="T100" s="97"/>
      <c r="U100" s="97"/>
      <c r="V100" s="97"/>
      <c r="W100" s="97"/>
      <c r="X100" s="88"/>
      <c r="Y100" s="97"/>
      <c r="Z100" s="97"/>
      <c r="AA100" s="97"/>
      <c r="AB100" s="97"/>
      <c r="AC100" s="97"/>
    </row>
    <row r="101" spans="1:29" ht="15.75" x14ac:dyDescent="0.25">
      <c r="A101" s="231"/>
      <c r="B101" s="83"/>
      <c r="C101" s="98">
        <f>SUM(C97:C99)</f>
        <v>0</v>
      </c>
      <c r="D101" s="99"/>
      <c r="E101" s="100" t="s">
        <v>56</v>
      </c>
      <c r="F101" s="100"/>
      <c r="G101" s="101"/>
      <c r="H101" s="101"/>
      <c r="I101" s="101"/>
      <c r="J101" s="101"/>
      <c r="K101" s="101"/>
      <c r="L101" s="101"/>
      <c r="M101" s="85"/>
      <c r="N101" s="102"/>
      <c r="O101" s="102"/>
      <c r="P101" s="102"/>
      <c r="Q101" s="102"/>
      <c r="R101" s="102"/>
      <c r="S101" s="102"/>
      <c r="T101" s="102"/>
      <c r="U101" s="102"/>
      <c r="V101" s="102"/>
      <c r="W101" s="102"/>
      <c r="X101" s="85"/>
      <c r="Y101" s="102"/>
      <c r="Z101" s="102"/>
      <c r="AA101" s="102"/>
      <c r="AB101" s="102"/>
      <c r="AC101" s="102"/>
    </row>
    <row r="102" spans="1:29" ht="14.25" x14ac:dyDescent="0.2">
      <c r="A102" s="231"/>
      <c r="B102" s="86"/>
      <c r="C102" s="87"/>
      <c r="D102" s="87"/>
      <c r="E102" s="87"/>
      <c r="F102" s="87"/>
      <c r="G102" s="87"/>
      <c r="H102" s="87"/>
      <c r="I102" s="87"/>
      <c r="J102" s="87"/>
      <c r="K102" s="87"/>
      <c r="L102" s="87"/>
      <c r="M102" s="88"/>
      <c r="N102" s="97"/>
      <c r="O102" s="97"/>
      <c r="P102" s="97"/>
      <c r="Q102" s="97"/>
      <c r="R102" s="97"/>
      <c r="S102" s="97"/>
      <c r="T102" s="97"/>
      <c r="U102" s="97"/>
      <c r="V102" s="97"/>
      <c r="W102" s="97"/>
      <c r="X102" s="88"/>
      <c r="Y102" s="97"/>
      <c r="Z102" s="97"/>
      <c r="AA102" s="97"/>
      <c r="AB102" s="97"/>
      <c r="AC102" s="97"/>
    </row>
    <row r="103" spans="1:29" ht="34.5" customHeight="1" x14ac:dyDescent="0.2">
      <c r="A103" s="231"/>
      <c r="B103" s="86"/>
      <c r="C103" s="87"/>
      <c r="D103" s="87"/>
      <c r="E103" s="87"/>
      <c r="F103" s="87"/>
      <c r="G103" s="87"/>
      <c r="H103" s="87"/>
      <c r="I103" s="87"/>
      <c r="J103" s="87"/>
      <c r="K103" s="87"/>
      <c r="L103" s="87"/>
      <c r="M103" s="88"/>
      <c r="N103" s="97"/>
      <c r="O103" s="97"/>
      <c r="P103" s="97"/>
      <c r="Q103" s="97"/>
      <c r="R103" s="97"/>
      <c r="S103" s="97"/>
      <c r="T103" s="97"/>
      <c r="U103" s="97"/>
      <c r="V103" s="97"/>
      <c r="W103" s="97"/>
      <c r="X103" s="88"/>
      <c r="Y103" s="97"/>
      <c r="Z103" s="97"/>
      <c r="AA103" s="97"/>
      <c r="AB103" s="97"/>
      <c r="AC103" s="97"/>
    </row>
    <row r="104" spans="1:29" ht="34.5" customHeight="1" x14ac:dyDescent="0.25">
      <c r="A104" s="121"/>
      <c r="B104" s="103"/>
      <c r="C104" s="79"/>
      <c r="D104" s="79"/>
      <c r="E104" s="79"/>
      <c r="F104" s="79"/>
      <c r="G104" s="79"/>
      <c r="H104" s="79"/>
      <c r="I104" s="79"/>
      <c r="J104" s="79"/>
      <c r="K104" s="79"/>
      <c r="L104" s="79"/>
      <c r="M104" s="104"/>
      <c r="N104" s="105"/>
      <c r="O104" s="105"/>
      <c r="P104" s="105"/>
      <c r="Q104" s="105"/>
      <c r="R104" s="105"/>
      <c r="S104" s="105"/>
      <c r="T104" s="105"/>
      <c r="U104" s="105"/>
      <c r="V104" s="105"/>
      <c r="W104" s="105"/>
      <c r="X104" s="104"/>
      <c r="Y104" s="105"/>
      <c r="Z104" s="105"/>
      <c r="AA104" s="105"/>
      <c r="AB104" s="105"/>
      <c r="AC104" s="105"/>
    </row>
    <row r="105" spans="1:29" ht="15" x14ac:dyDescent="0.25">
      <c r="B105" s="106"/>
      <c r="C105" s="107">
        <f>SUM(C94:D94)</f>
        <v>0</v>
      </c>
      <c r="D105" s="108"/>
      <c r="E105" s="100" t="s">
        <v>57</v>
      </c>
      <c r="F105" s="100"/>
      <c r="G105" s="95"/>
      <c r="H105" s="95"/>
      <c r="I105" s="95"/>
      <c r="J105" s="95"/>
      <c r="K105" s="95"/>
      <c r="L105" s="95"/>
      <c r="M105" s="109"/>
      <c r="N105" s="107">
        <f>SUM(N94:O94)*$T$2</f>
        <v>0</v>
      </c>
      <c r="O105" s="110"/>
      <c r="P105" s="100" t="s">
        <v>57</v>
      </c>
      <c r="Q105" s="100"/>
      <c r="R105" s="111"/>
      <c r="S105" s="111"/>
      <c r="T105" s="111"/>
      <c r="U105" s="111"/>
      <c r="V105" s="111"/>
      <c r="W105" s="111"/>
      <c r="X105" s="109"/>
      <c r="Y105" s="107">
        <f>SUM(Y94:Z94)*$AE$2</f>
        <v>0</v>
      </c>
      <c r="Z105" s="108"/>
      <c r="AA105" s="100" t="s">
        <v>57</v>
      </c>
      <c r="AB105" s="111"/>
      <c r="AC105" s="111"/>
    </row>
    <row r="106" spans="1:29" ht="15" x14ac:dyDescent="0.25">
      <c r="B106" s="106"/>
      <c r="C106" s="90">
        <f>E94+G94+I94+K94</f>
        <v>0</v>
      </c>
      <c r="D106" s="95"/>
      <c r="E106" s="112" t="s">
        <v>58</v>
      </c>
      <c r="F106" s="100"/>
      <c r="G106" s="95"/>
      <c r="H106" s="95"/>
      <c r="I106" s="95"/>
      <c r="J106" s="95"/>
      <c r="K106" s="95"/>
      <c r="L106" s="95"/>
      <c r="M106" s="109"/>
      <c r="N106" s="90">
        <f>(P94+R94+T94+V94)*T2</f>
        <v>0</v>
      </c>
      <c r="O106" s="95"/>
      <c r="P106" s="112" t="s">
        <v>58</v>
      </c>
      <c r="Q106" s="100"/>
      <c r="R106" s="111"/>
      <c r="S106" s="111"/>
      <c r="T106" s="111"/>
      <c r="U106" s="111"/>
      <c r="V106" s="111"/>
      <c r="W106" s="111"/>
      <c r="X106" s="109"/>
      <c r="Y106" s="90">
        <f>(AA94+AC94+AE94+AG94)*AE2</f>
        <v>0</v>
      </c>
      <c r="Z106" s="95"/>
      <c r="AA106" s="112" t="s">
        <v>58</v>
      </c>
      <c r="AB106" s="111"/>
      <c r="AC106" s="111"/>
    </row>
    <row r="107" spans="1:29" ht="15" x14ac:dyDescent="0.25">
      <c r="B107" s="106"/>
      <c r="C107" s="91">
        <f>F94+H94+J94+L94</f>
        <v>0</v>
      </c>
      <c r="E107" s="113" t="s">
        <v>64</v>
      </c>
      <c r="F107" s="100"/>
      <c r="G107" s="95"/>
      <c r="H107" s="95"/>
      <c r="I107" s="95"/>
      <c r="J107" s="95"/>
      <c r="K107" s="95"/>
      <c r="L107" s="95"/>
      <c r="M107" s="109"/>
      <c r="N107" s="91">
        <f>(Q94+S94+U94+W94)*$T$2</f>
        <v>0</v>
      </c>
      <c r="P107" s="113" t="s">
        <v>64</v>
      </c>
      <c r="Q107" s="100"/>
      <c r="R107" s="111"/>
      <c r="S107" s="111"/>
      <c r="T107" s="111"/>
      <c r="U107" s="111"/>
      <c r="V107" s="111"/>
      <c r="W107" s="111"/>
      <c r="X107" s="109"/>
      <c r="Y107" s="91">
        <f>(AB94+AD94+AF94+AH94)*$AE$2</f>
        <v>0</v>
      </c>
      <c r="AA107" s="113" t="s">
        <v>64</v>
      </c>
      <c r="AB107" s="111"/>
      <c r="AC107" s="111"/>
    </row>
    <row r="108" spans="1:29" ht="15" x14ac:dyDescent="0.25">
      <c r="B108" s="106"/>
      <c r="C108" s="90">
        <f>SUM(E94,G94,I94,K94)</f>
        <v>0</v>
      </c>
      <c r="D108" s="95"/>
      <c r="E108" s="112" t="s">
        <v>59</v>
      </c>
      <c r="F108" s="100"/>
      <c r="G108" s="95"/>
      <c r="H108" s="95"/>
      <c r="I108" s="95"/>
      <c r="J108" s="95"/>
      <c r="K108" s="95"/>
      <c r="L108" s="95"/>
      <c r="M108" s="109"/>
      <c r="N108" s="90">
        <f>SUM(P94,R94,T94,V94)*T2</f>
        <v>0</v>
      </c>
      <c r="O108" s="95"/>
      <c r="P108" s="112" t="s">
        <v>59</v>
      </c>
      <c r="Q108" s="100"/>
      <c r="R108" s="111"/>
      <c r="S108" s="111"/>
      <c r="T108" s="111"/>
      <c r="U108" s="111"/>
      <c r="V108" s="111"/>
      <c r="W108" s="111"/>
      <c r="X108" s="109"/>
      <c r="Y108" s="90">
        <f>SUM(AA94,AC94,AE94,AG94)*AE2</f>
        <v>0</v>
      </c>
      <c r="Z108" s="95"/>
      <c r="AA108" s="112" t="s">
        <v>59</v>
      </c>
      <c r="AB108" s="111"/>
      <c r="AC108" s="111"/>
    </row>
    <row r="109" spans="1:29" ht="15" x14ac:dyDescent="0.25">
      <c r="B109" s="106"/>
      <c r="C109" s="91">
        <f>SUM(F94,H94,J94,L94)</f>
        <v>0</v>
      </c>
      <c r="D109" s="95"/>
      <c r="E109" s="113" t="s">
        <v>65</v>
      </c>
      <c r="F109" s="111"/>
      <c r="G109" s="95"/>
      <c r="H109" s="95"/>
      <c r="I109" s="95"/>
      <c r="J109" s="95"/>
      <c r="K109" s="95"/>
      <c r="L109" s="95"/>
      <c r="M109" s="109"/>
      <c r="N109" s="91">
        <f>SUM(Q94,S94,U94,W94)*T2</f>
        <v>0</v>
      </c>
      <c r="O109" s="95"/>
      <c r="P109" s="113" t="s">
        <v>65</v>
      </c>
      <c r="Q109" s="111"/>
      <c r="R109" s="111"/>
      <c r="S109" s="111"/>
      <c r="T109" s="111"/>
      <c r="U109" s="111"/>
      <c r="V109" s="111"/>
      <c r="W109" s="111"/>
      <c r="X109" s="109"/>
      <c r="Y109" s="91">
        <f>SUM(AB94,AD94,AF94,AH94)</f>
        <v>0</v>
      </c>
      <c r="Z109" s="95"/>
      <c r="AA109" s="113" t="s">
        <v>65</v>
      </c>
      <c r="AB109" s="111"/>
      <c r="AC109" s="111"/>
    </row>
    <row r="110" spans="1:29" ht="15" x14ac:dyDescent="0.25">
      <c r="B110" s="106"/>
      <c r="F110" s="100"/>
      <c r="G110" s="95"/>
      <c r="H110" s="95"/>
      <c r="I110" s="95"/>
      <c r="J110" s="95"/>
      <c r="K110" s="95"/>
      <c r="L110" s="95"/>
      <c r="M110" s="109"/>
      <c r="Q110" s="100"/>
      <c r="R110" s="111"/>
      <c r="S110" s="111"/>
      <c r="T110" s="111"/>
      <c r="U110" s="111"/>
      <c r="V110" s="111"/>
      <c r="W110" s="111"/>
      <c r="X110" s="109"/>
      <c r="AB110" s="111"/>
      <c r="AC110" s="111"/>
    </row>
    <row r="111" spans="1:29" ht="15" x14ac:dyDescent="0.25">
      <c r="B111" s="106"/>
      <c r="C111" s="174">
        <f>IF(SUM(C$106:C$107)&gt;=P2_In_Deduct,(C$106/SUM(C$106:C$107))*P2_In_Deduct,C106)</f>
        <v>0</v>
      </c>
      <c r="D111" s="108"/>
      <c r="E111" s="114" t="s">
        <v>60</v>
      </c>
      <c r="G111" s="87"/>
      <c r="H111" s="87"/>
      <c r="I111" s="87"/>
      <c r="J111" s="87"/>
      <c r="K111" s="87"/>
      <c r="L111" s="87"/>
      <c r="M111" s="97"/>
      <c r="N111" s="174">
        <f>IF(SUM(N$106:N$107)&gt;=P2_In_Deduct,(N$106/SUM(N$106:N$107))*P2_In_Deduct,N106)</f>
        <v>0</v>
      </c>
      <c r="O111" s="108"/>
      <c r="P111" s="114" t="s">
        <v>60</v>
      </c>
      <c r="Q111" s="97"/>
      <c r="R111" s="97"/>
      <c r="S111" s="97"/>
      <c r="T111" s="97"/>
      <c r="U111" s="97"/>
      <c r="V111" s="97"/>
      <c r="W111" s="97"/>
      <c r="X111" s="97"/>
      <c r="Y111" s="174">
        <f>IF(SUM(Y$106:Y$107)&gt;=P2_In_Deduct,(Y$106/SUM(Y$106:Y$107))*P2_In_Deduct,Y106)</f>
        <v>0</v>
      </c>
      <c r="Z111" s="108"/>
      <c r="AA111" s="114" t="s">
        <v>60</v>
      </c>
      <c r="AB111" s="97"/>
      <c r="AC111" s="97"/>
    </row>
    <row r="112" spans="1:29" ht="15" x14ac:dyDescent="0.25">
      <c r="B112" s="106"/>
      <c r="C112" s="174">
        <f>IF(SUM(C$106:C$107)&gt;=P2_In_Deduct,(C$107/SUM(C$106:C$107))*P2_In_Deduct,C107)</f>
        <v>0</v>
      </c>
      <c r="E112" s="115" t="s">
        <v>66</v>
      </c>
      <c r="G112" s="87"/>
      <c r="H112" s="87"/>
      <c r="I112" s="87"/>
      <c r="J112" s="87"/>
      <c r="K112" s="87"/>
      <c r="L112" s="87"/>
      <c r="M112" s="97"/>
      <c r="N112" s="174">
        <f>IF(SUM(N$106:N$107)&gt;=P2_In_Deduct,(N$107/SUM(N$106:N$107))*P2_In_Deduct,N107)</f>
        <v>0</v>
      </c>
      <c r="P112" s="115" t="s">
        <v>66</v>
      </c>
      <c r="Q112" s="97"/>
      <c r="R112" s="97"/>
      <c r="S112" s="97"/>
      <c r="W112" s="108"/>
      <c r="X112" s="97"/>
      <c r="Y112" s="174">
        <f>IF(SUM(Y$106:Y$107)&gt;=P2_In_Deduct,(Y$107/SUM(Y$106:Y$107))*P2_In_Deduct,Y107)</f>
        <v>0</v>
      </c>
      <c r="AA112" s="115" t="s">
        <v>66</v>
      </c>
      <c r="AB112" s="97"/>
      <c r="AC112" s="97"/>
    </row>
    <row r="113" spans="2:34" ht="15" x14ac:dyDescent="0.25">
      <c r="B113" s="106"/>
      <c r="C113" s="93"/>
      <c r="E113" s="115"/>
      <c r="G113" s="87"/>
      <c r="H113" s="87"/>
      <c r="I113" s="87"/>
      <c r="J113" s="87"/>
      <c r="K113" s="87"/>
      <c r="L113" s="87"/>
      <c r="M113" s="97"/>
      <c r="N113" s="93"/>
      <c r="P113" s="115"/>
      <c r="Q113" s="97"/>
      <c r="R113" s="97"/>
      <c r="S113" s="97"/>
      <c r="W113" s="108"/>
      <c r="X113" s="97"/>
      <c r="Y113" s="93"/>
      <c r="AA113" s="115"/>
      <c r="AB113" s="97"/>
      <c r="AC113" s="97"/>
    </row>
    <row r="114" spans="2:34" ht="15" x14ac:dyDescent="0.25">
      <c r="B114" s="106"/>
      <c r="C114" s="177">
        <f>MIN((C108-C111)*(1-P2_In_Coins),P2_In_OOPMax)</f>
        <v>0</v>
      </c>
      <c r="D114" s="108"/>
      <c r="E114" s="112" t="s">
        <v>61</v>
      </c>
      <c r="F114" s="87"/>
      <c r="G114" s="87"/>
      <c r="H114" s="87"/>
      <c r="I114" s="87"/>
      <c r="J114" s="87"/>
      <c r="K114" s="87"/>
      <c r="L114" s="87"/>
      <c r="M114" s="97"/>
      <c r="N114" s="92">
        <f>MIN((N108-N111)*(1-P2_In_Coins),P2_In_OOPMax)</f>
        <v>0</v>
      </c>
      <c r="O114" s="108"/>
      <c r="P114" s="112" t="s">
        <v>61</v>
      </c>
      <c r="Q114" s="97"/>
      <c r="R114" s="97"/>
      <c r="S114" s="97"/>
      <c r="W114" s="108"/>
      <c r="X114" s="97"/>
      <c r="Y114" s="92">
        <f>MIN((Y108-Y111)*(1-P2_In_Coins),P2_In_OOPMax)</f>
        <v>0</v>
      </c>
      <c r="Z114" s="108"/>
      <c r="AA114" s="112" t="s">
        <v>61</v>
      </c>
      <c r="AB114" s="97"/>
      <c r="AC114" s="97"/>
    </row>
    <row r="115" spans="2:34" ht="15.75" x14ac:dyDescent="0.25">
      <c r="B115" s="106"/>
      <c r="C115" s="178">
        <f>MIN((C109-C112)*(1-P2_Out_Coins),P2_Out_OOPMax)</f>
        <v>0</v>
      </c>
      <c r="D115" s="79"/>
      <c r="E115" s="113" t="s">
        <v>67</v>
      </c>
      <c r="F115" s="79"/>
      <c r="G115" s="79"/>
      <c r="H115" s="79"/>
      <c r="I115" s="79"/>
      <c r="J115" s="79"/>
      <c r="K115" s="79"/>
      <c r="L115" s="79"/>
      <c r="M115" s="105"/>
      <c r="N115" s="93">
        <f>MIN((N109-N112)*(1-P2_Out_Coins),P2_Out_OOPMax)</f>
        <v>0</v>
      </c>
      <c r="O115" s="79"/>
      <c r="P115" s="113" t="s">
        <v>67</v>
      </c>
      <c r="Q115" s="105"/>
      <c r="R115" s="105"/>
      <c r="S115" s="105"/>
      <c r="T115" s="116"/>
      <c r="U115" s="116"/>
      <c r="V115" s="105"/>
      <c r="W115" s="105"/>
      <c r="X115" s="105"/>
      <c r="Y115" s="93">
        <f>MIN((Y109-Y112)*(1-P2_Out_Coins),P2_Out_OOPMax)</f>
        <v>0</v>
      </c>
      <c r="Z115" s="79"/>
      <c r="AA115" s="113" t="s">
        <v>67</v>
      </c>
      <c r="AB115" s="105"/>
      <c r="AC115" s="105"/>
    </row>
    <row r="116" spans="2:34" ht="15" x14ac:dyDescent="0.25">
      <c r="B116" s="106"/>
      <c r="C116" s="87"/>
      <c r="D116" s="87"/>
      <c r="E116" s="87"/>
      <c r="F116" s="87"/>
      <c r="G116" s="87"/>
      <c r="H116" s="87"/>
      <c r="I116" s="87"/>
      <c r="J116" s="87"/>
      <c r="K116" s="87"/>
      <c r="L116" s="87"/>
      <c r="M116" s="97"/>
      <c r="N116" s="97"/>
      <c r="O116" s="97"/>
      <c r="P116" s="97"/>
      <c r="Q116" s="97"/>
      <c r="R116" s="97"/>
      <c r="S116" s="97"/>
      <c r="T116" s="117"/>
      <c r="U116" s="117"/>
      <c r="V116" s="97"/>
      <c r="W116" s="97"/>
      <c r="X116" s="97"/>
      <c r="Y116" s="97"/>
      <c r="Z116" s="97"/>
      <c r="AA116" s="97"/>
      <c r="AB116" s="97"/>
      <c r="AC116" s="97"/>
    </row>
    <row r="117" spans="2:34" ht="15" x14ac:dyDescent="0.25">
      <c r="B117" s="106"/>
      <c r="C117" s="195"/>
      <c r="D117" s="188" t="s">
        <v>114</v>
      </c>
      <c r="E117" s="196" t="s">
        <v>115</v>
      </c>
      <c r="F117" s="189" t="s">
        <v>116</v>
      </c>
      <c r="G117" s="197"/>
      <c r="H117" s="195"/>
      <c r="I117" s="195"/>
      <c r="J117" s="195"/>
      <c r="K117" s="195"/>
      <c r="L117" s="195"/>
      <c r="M117" s="97"/>
      <c r="N117" s="97"/>
      <c r="O117" s="97"/>
      <c r="P117" s="97"/>
      <c r="Q117" s="97"/>
      <c r="R117" s="97"/>
      <c r="S117" s="97"/>
      <c r="T117" s="97"/>
      <c r="U117" s="97"/>
      <c r="V117" s="97"/>
      <c r="W117" s="97"/>
      <c r="X117" s="97"/>
      <c r="Y117" s="97"/>
      <c r="Z117" s="97"/>
      <c r="AA117" s="97"/>
      <c r="AB117" s="97"/>
      <c r="AC117" s="97"/>
    </row>
    <row r="118" spans="2:34" ht="15.75" x14ac:dyDescent="0.25">
      <c r="B118" s="175"/>
      <c r="C118" s="187" t="s">
        <v>3</v>
      </c>
      <c r="D118" s="198">
        <f t="shared" ref="D118:D123" si="0">IF(F118&lt;E118,F118,E118)</f>
        <v>0</v>
      </c>
      <c r="E118" s="201">
        <f>'Plan Defn'!E9</f>
        <v>3000</v>
      </c>
      <c r="F118" s="203">
        <f t="shared" ref="F118:F123" si="1">SUM(L$118:L$121)</f>
        <v>0</v>
      </c>
      <c r="G118" s="189" t="s">
        <v>117</v>
      </c>
      <c r="H118" s="78"/>
      <c r="I118" s="78"/>
      <c r="J118" s="78"/>
      <c r="K118" s="188" t="s">
        <v>118</v>
      </c>
      <c r="L118" s="199">
        <f>V118</f>
        <v>0</v>
      </c>
      <c r="N118" s="105"/>
      <c r="O118" s="105"/>
      <c r="P118" s="105"/>
      <c r="Q118" s="105"/>
      <c r="R118" s="105"/>
      <c r="S118" s="105"/>
      <c r="T118" s="118" t="s">
        <v>62</v>
      </c>
      <c r="U118" s="118"/>
      <c r="V118" s="120">
        <f>MIN((C111+N111+Y111),(P2_In_Deduct*P2_In_FamMult))</f>
        <v>0</v>
      </c>
      <c r="W118" s="105"/>
      <c r="X118" s="105"/>
      <c r="Y118" s="105"/>
      <c r="Z118" s="105"/>
      <c r="AA118" s="105"/>
      <c r="AB118" s="105"/>
      <c r="AC118" s="105"/>
    </row>
    <row r="119" spans="2:34" ht="15" x14ac:dyDescent="0.25">
      <c r="B119" s="176"/>
      <c r="C119" s="187" t="s">
        <v>100</v>
      </c>
      <c r="D119" s="198">
        <f t="shared" si="0"/>
        <v>0</v>
      </c>
      <c r="E119" s="200">
        <f>'Plan Defn'!E$10</f>
        <v>6000</v>
      </c>
      <c r="F119" s="203">
        <f t="shared" si="1"/>
        <v>0</v>
      </c>
      <c r="G119" s="189" t="s">
        <v>117</v>
      </c>
      <c r="H119" s="195"/>
      <c r="I119" s="195"/>
      <c r="J119" s="195"/>
      <c r="K119" s="188" t="s">
        <v>119</v>
      </c>
      <c r="L119" s="199">
        <f>V121</f>
        <v>0</v>
      </c>
      <c r="N119" s="97"/>
      <c r="O119" s="97"/>
      <c r="P119" s="97"/>
      <c r="Q119" s="97"/>
      <c r="R119" s="97"/>
      <c r="S119" s="97"/>
      <c r="T119" s="118" t="s">
        <v>68</v>
      </c>
      <c r="V119" s="120">
        <f>MIN((C112+N112+Y112),(P2_Out_Deduct*P2_Out_FamMult))</f>
        <v>0</v>
      </c>
      <c r="W119" s="97"/>
      <c r="X119" s="97"/>
      <c r="Y119" s="97"/>
      <c r="Z119" s="97"/>
      <c r="AA119" s="97"/>
      <c r="AB119" s="97"/>
      <c r="AC119" s="97"/>
    </row>
    <row r="120" spans="2:34" ht="14.25" x14ac:dyDescent="0.2">
      <c r="B120" s="176"/>
      <c r="C120" s="187" t="s">
        <v>101</v>
      </c>
      <c r="D120" s="198">
        <f t="shared" si="0"/>
        <v>0</v>
      </c>
      <c r="E120" s="200">
        <f>'Plan Defn'!E$10</f>
        <v>6000</v>
      </c>
      <c r="F120" s="203">
        <f t="shared" si="1"/>
        <v>0</v>
      </c>
      <c r="G120" s="189" t="s">
        <v>117</v>
      </c>
      <c r="H120" s="195"/>
      <c r="I120" s="195"/>
      <c r="J120" s="195"/>
      <c r="K120" s="188" t="s">
        <v>120</v>
      </c>
      <c r="L120" s="199">
        <f>SUM(C94,N94,Y94)</f>
        <v>0</v>
      </c>
      <c r="N120" s="97"/>
      <c r="O120" s="97"/>
      <c r="P120" s="97"/>
      <c r="Q120" s="97"/>
      <c r="R120" s="97"/>
      <c r="S120" s="97"/>
      <c r="T120" s="97"/>
      <c r="U120" s="97"/>
      <c r="V120" s="97"/>
      <c r="W120" s="97"/>
      <c r="X120" s="97"/>
      <c r="Y120" s="97"/>
      <c r="Z120" s="97"/>
      <c r="AA120" s="97"/>
      <c r="AB120" s="97"/>
      <c r="AC120" s="97"/>
    </row>
    <row r="121" spans="2:34" ht="15.75" x14ac:dyDescent="0.25">
      <c r="B121" s="106"/>
      <c r="C121" s="187" t="s">
        <v>102</v>
      </c>
      <c r="D121" s="198">
        <f t="shared" si="0"/>
        <v>0</v>
      </c>
      <c r="E121" s="200">
        <f>'Plan Defn'!E$10</f>
        <v>6000</v>
      </c>
      <c r="F121" s="203">
        <f t="shared" si="1"/>
        <v>0</v>
      </c>
      <c r="G121" s="189" t="s">
        <v>117</v>
      </c>
      <c r="H121" s="78"/>
      <c r="I121" s="78"/>
      <c r="J121" s="78"/>
      <c r="K121" s="188" t="s">
        <v>121</v>
      </c>
      <c r="L121" s="199">
        <f>C101</f>
        <v>0</v>
      </c>
      <c r="N121" s="105"/>
      <c r="O121" s="105"/>
      <c r="P121" s="105"/>
      <c r="Q121" s="105"/>
      <c r="R121" s="105"/>
      <c r="S121" s="105"/>
      <c r="T121" s="118" t="s">
        <v>63</v>
      </c>
      <c r="U121" s="118"/>
      <c r="V121" s="107">
        <f>MIN((C114+N114+Y114),(P2_In_OOPMax*P2_In_FamMult))</f>
        <v>0</v>
      </c>
      <c r="W121" s="105"/>
      <c r="X121" s="105"/>
      <c r="Y121" s="105"/>
      <c r="Z121" s="105"/>
      <c r="AA121" s="105"/>
      <c r="AB121" s="105"/>
      <c r="AC121" s="105"/>
    </row>
    <row r="122" spans="2:34" ht="15" x14ac:dyDescent="0.25">
      <c r="B122" s="106"/>
      <c r="C122" s="187" t="s">
        <v>103</v>
      </c>
      <c r="D122" s="198">
        <f t="shared" si="0"/>
        <v>0</v>
      </c>
      <c r="E122" s="200">
        <f>'Plan Defn'!E$10</f>
        <v>6000</v>
      </c>
      <c r="F122" s="203">
        <f t="shared" si="1"/>
        <v>0</v>
      </c>
      <c r="G122" s="189" t="s">
        <v>117</v>
      </c>
      <c r="H122" s="195"/>
      <c r="I122" s="195"/>
      <c r="J122" s="195"/>
      <c r="K122" s="195"/>
      <c r="L122" s="195"/>
      <c r="M122" s="97"/>
      <c r="N122" s="97"/>
      <c r="O122" s="97"/>
      <c r="P122" s="97"/>
      <c r="Q122" s="97"/>
      <c r="R122" s="97"/>
      <c r="S122" s="97"/>
      <c r="T122" s="118" t="s">
        <v>69</v>
      </c>
      <c r="U122" s="97"/>
      <c r="V122" s="107">
        <f>MIN((C115+N115+Y115),(P2_Out_OOPMax*P2_Out_FamMult))</f>
        <v>0</v>
      </c>
      <c r="W122" s="97"/>
      <c r="X122" s="97"/>
      <c r="Y122" s="97"/>
      <c r="Z122" s="97"/>
      <c r="AA122" s="97"/>
      <c r="AB122" s="97"/>
      <c r="AC122" s="97"/>
    </row>
    <row r="123" spans="2:34" ht="14.25" x14ac:dyDescent="0.2">
      <c r="B123" s="97"/>
      <c r="C123" s="187" t="s">
        <v>104</v>
      </c>
      <c r="D123" s="198">
        <f t="shared" si="0"/>
        <v>0</v>
      </c>
      <c r="E123" s="200">
        <f>'Plan Defn'!E$10</f>
        <v>6000</v>
      </c>
      <c r="F123" s="203">
        <f t="shared" si="1"/>
        <v>0</v>
      </c>
      <c r="G123" s="189" t="s">
        <v>117</v>
      </c>
      <c r="H123" s="195"/>
      <c r="I123" s="195"/>
      <c r="J123" s="195"/>
      <c r="K123" s="195"/>
      <c r="L123" s="195"/>
      <c r="M123" s="97"/>
      <c r="N123" s="97"/>
      <c r="O123" s="97"/>
      <c r="P123" s="97"/>
      <c r="Q123" s="97"/>
      <c r="R123" s="97"/>
      <c r="S123" s="97"/>
      <c r="T123" s="97"/>
      <c r="U123" s="97"/>
      <c r="V123" s="97"/>
      <c r="W123" s="97"/>
      <c r="X123" s="97"/>
      <c r="Y123" s="97"/>
      <c r="Z123" s="97"/>
      <c r="AA123" s="97"/>
      <c r="AB123" s="97"/>
      <c r="AC123" s="97"/>
    </row>
    <row r="124" spans="2:34" ht="15.75" x14ac:dyDescent="0.25">
      <c r="B124" s="83"/>
      <c r="C124" s="235" t="s">
        <v>6</v>
      </c>
      <c r="D124" s="235"/>
      <c r="E124" s="235"/>
      <c r="F124" s="235"/>
      <c r="G124" s="235"/>
      <c r="H124" s="235"/>
      <c r="I124" s="235"/>
      <c r="J124" s="235"/>
      <c r="K124" s="235"/>
      <c r="L124" s="84"/>
      <c r="M124" s="85"/>
      <c r="N124" s="235" t="s">
        <v>7</v>
      </c>
      <c r="O124" s="235"/>
      <c r="P124" s="235"/>
      <c r="Q124" s="235"/>
      <c r="R124" s="235"/>
      <c r="S124" s="235"/>
      <c r="T124" s="235"/>
      <c r="U124" s="235"/>
      <c r="V124" s="235"/>
      <c r="W124" s="84"/>
      <c r="X124" s="85"/>
      <c r="Y124" s="235" t="s">
        <v>11</v>
      </c>
      <c r="Z124" s="235"/>
      <c r="AA124" s="235"/>
      <c r="AB124" s="235"/>
      <c r="AC124" s="235"/>
      <c r="AD124" s="235"/>
      <c r="AE124" s="235"/>
      <c r="AF124" s="235"/>
      <c r="AG124" s="235"/>
      <c r="AH124" s="235"/>
    </row>
    <row r="125" spans="2:34" ht="15.75" x14ac:dyDescent="0.25">
      <c r="B125" s="83"/>
      <c r="C125" s="233" t="s">
        <v>37</v>
      </c>
      <c r="D125" s="233"/>
      <c r="E125" s="233" t="s">
        <v>38</v>
      </c>
      <c r="F125" s="233"/>
      <c r="G125" s="234" t="s">
        <v>39</v>
      </c>
      <c r="H125" s="234"/>
      <c r="I125" s="233" t="s">
        <v>40</v>
      </c>
      <c r="J125" s="233"/>
      <c r="K125" s="233" t="s">
        <v>41</v>
      </c>
      <c r="L125" s="233"/>
      <c r="M125" s="85"/>
      <c r="N125" s="233" t="s">
        <v>37</v>
      </c>
      <c r="O125" s="233"/>
      <c r="P125" s="233" t="s">
        <v>38</v>
      </c>
      <c r="Q125" s="233"/>
      <c r="R125" s="234" t="s">
        <v>39</v>
      </c>
      <c r="S125" s="234"/>
      <c r="T125" s="233" t="s">
        <v>40</v>
      </c>
      <c r="U125" s="233"/>
      <c r="V125" s="233" t="s">
        <v>41</v>
      </c>
      <c r="W125" s="233"/>
      <c r="X125" s="85"/>
      <c r="Y125" s="233" t="s">
        <v>37</v>
      </c>
      <c r="Z125" s="233"/>
      <c r="AA125" s="233" t="s">
        <v>38</v>
      </c>
      <c r="AB125" s="233"/>
      <c r="AC125" s="234" t="s">
        <v>39</v>
      </c>
      <c r="AD125" s="234"/>
      <c r="AE125" s="233" t="s">
        <v>40</v>
      </c>
      <c r="AF125" s="233"/>
      <c r="AG125" s="233" t="s">
        <v>41</v>
      </c>
      <c r="AH125" s="233"/>
    </row>
    <row r="126" spans="2:34" ht="14.25" x14ac:dyDescent="0.2">
      <c r="B126" s="86"/>
      <c r="C126" s="232" t="s">
        <v>42</v>
      </c>
      <c r="D126" s="232"/>
      <c r="E126" s="232" t="s">
        <v>42</v>
      </c>
      <c r="F126" s="232"/>
      <c r="G126" s="232" t="s">
        <v>42</v>
      </c>
      <c r="H126" s="232"/>
      <c r="I126" s="232" t="s">
        <v>42</v>
      </c>
      <c r="J126" s="232"/>
      <c r="K126" s="232" t="s">
        <v>42</v>
      </c>
      <c r="L126" s="232"/>
      <c r="M126" s="88"/>
      <c r="N126" s="232" t="s">
        <v>42</v>
      </c>
      <c r="O126" s="232"/>
      <c r="P126" s="232" t="s">
        <v>42</v>
      </c>
      <c r="Q126" s="232"/>
      <c r="R126" s="232" t="s">
        <v>42</v>
      </c>
      <c r="S126" s="232"/>
      <c r="T126" s="232" t="s">
        <v>42</v>
      </c>
      <c r="U126" s="232"/>
      <c r="V126" s="232" t="s">
        <v>42</v>
      </c>
      <c r="W126" s="232"/>
      <c r="X126" s="88"/>
      <c r="Y126" s="232" t="s">
        <v>42</v>
      </c>
      <c r="Z126" s="232"/>
      <c r="AA126" s="232" t="s">
        <v>42</v>
      </c>
      <c r="AB126" s="232"/>
      <c r="AC126" s="232" t="s">
        <v>42</v>
      </c>
      <c r="AD126" s="232"/>
      <c r="AE126" s="232" t="s">
        <v>42</v>
      </c>
      <c r="AF126" s="232"/>
      <c r="AG126" s="232" t="s">
        <v>42</v>
      </c>
      <c r="AH126" s="232"/>
    </row>
    <row r="127" spans="2:34" ht="14.25" x14ac:dyDescent="0.2">
      <c r="B127" s="86"/>
      <c r="C127" s="87" t="s">
        <v>43</v>
      </c>
      <c r="D127" s="87" t="s">
        <v>44</v>
      </c>
      <c r="E127" s="87" t="s">
        <v>43</v>
      </c>
      <c r="F127" s="87" t="s">
        <v>44</v>
      </c>
      <c r="G127" s="87" t="s">
        <v>43</v>
      </c>
      <c r="H127" s="87" t="s">
        <v>44</v>
      </c>
      <c r="I127" s="87" t="s">
        <v>43</v>
      </c>
      <c r="J127" s="87" t="s">
        <v>44</v>
      </c>
      <c r="K127" s="87" t="s">
        <v>43</v>
      </c>
      <c r="L127" s="87" t="s">
        <v>44</v>
      </c>
      <c r="M127" s="88"/>
      <c r="N127" s="87" t="s">
        <v>43</v>
      </c>
      <c r="O127" s="87" t="s">
        <v>44</v>
      </c>
      <c r="P127" s="87" t="s">
        <v>43</v>
      </c>
      <c r="Q127" s="87" t="s">
        <v>44</v>
      </c>
      <c r="R127" s="87" t="s">
        <v>43</v>
      </c>
      <c r="S127" s="87" t="s">
        <v>44</v>
      </c>
      <c r="T127" s="87" t="s">
        <v>43</v>
      </c>
      <c r="U127" s="87" t="s">
        <v>44</v>
      </c>
      <c r="V127" s="87" t="s">
        <v>43</v>
      </c>
      <c r="W127" s="87" t="s">
        <v>44</v>
      </c>
      <c r="X127" s="88"/>
      <c r="Y127" s="87" t="s">
        <v>43</v>
      </c>
      <c r="Z127" s="87" t="s">
        <v>44</v>
      </c>
      <c r="AA127" s="87" t="s">
        <v>43</v>
      </c>
      <c r="AB127" s="87" t="s">
        <v>44</v>
      </c>
      <c r="AC127" s="87" t="s">
        <v>43</v>
      </c>
      <c r="AD127" s="87" t="s">
        <v>44</v>
      </c>
      <c r="AE127" s="87" t="s">
        <v>43</v>
      </c>
      <c r="AF127" s="87" t="s">
        <v>44</v>
      </c>
      <c r="AG127" s="87" t="s">
        <v>43</v>
      </c>
      <c r="AH127" s="87" t="s">
        <v>44</v>
      </c>
    </row>
    <row r="128" spans="2:34" ht="15" x14ac:dyDescent="0.25">
      <c r="B128" s="89" t="s">
        <v>45</v>
      </c>
      <c r="C128" s="90">
        <f>IF('Plan Comparison Calculator'!$G$10=FALSE,0,3*P3_In_OV+P3_In_Maternity_IP_Copay)</f>
        <v>0</v>
      </c>
      <c r="D128" s="91"/>
      <c r="E128" s="90">
        <f>IF('Plan Comparison Calculator'!$G$10=FALSE,0,Maternity_Office)</f>
        <v>0</v>
      </c>
      <c r="F128" s="91"/>
      <c r="G128" s="90">
        <f>IF('Plan Comparison Calculator'!$G$10=FALSE,0,Maternity_XrayLab)</f>
        <v>0</v>
      </c>
      <c r="H128" s="91"/>
      <c r="I128" s="90">
        <f>IF('Plan Comparison Calculator'!$G$10=FALSE,0,Maternity_Facility)</f>
        <v>0</v>
      </c>
      <c r="J128" s="91"/>
      <c r="K128" s="90">
        <f>IF('Plan Comparison Calculator'!$G$10=FALSE,0,Maternity_Physician)</f>
        <v>0</v>
      </c>
      <c r="L128" s="91"/>
      <c r="M128" s="88"/>
      <c r="N128" s="90">
        <f>IF('Plan Comparison Calculator'!$I$10=FALSE,0,3*P3_In_OV+P3_In_Maternity_IP_Copay)</f>
        <v>0</v>
      </c>
      <c r="O128" s="91"/>
      <c r="P128" s="90">
        <f>IF('Plan Comparison Calculator'!$I$10=FALSE,0,Maternity_Office)</f>
        <v>0</v>
      </c>
      <c r="Q128" s="91"/>
      <c r="R128" s="90">
        <f>IF('Plan Comparison Calculator'!$I$10=FALSE,0,Maternity_XrayLab)</f>
        <v>0</v>
      </c>
      <c r="S128" s="91"/>
      <c r="T128" s="90">
        <f>IF('Plan Comparison Calculator'!$I$10=FALSE,0,Maternity_Facility)</f>
        <v>0</v>
      </c>
      <c r="U128" s="91"/>
      <c r="V128" s="90">
        <f>IF('Plan Comparison Calculator'!$I$10=FALSE,0,Maternity_Physician)</f>
        <v>0</v>
      </c>
      <c r="W128" s="91"/>
      <c r="X128" s="88"/>
      <c r="Y128" s="90"/>
      <c r="Z128" s="91"/>
      <c r="AA128" s="90"/>
      <c r="AB128" s="91"/>
      <c r="AC128" s="90"/>
      <c r="AD128" s="91"/>
      <c r="AE128" s="90">
        <f>IF(AND('Plan Comparison Calculator'!$G$10=FALSE,'Plan Comparison Calculator'!$I$10=FALSE),0,Baby_Facility)</f>
        <v>0</v>
      </c>
      <c r="AF128" s="91"/>
      <c r="AG128" s="90">
        <f>IF(AND('Plan Comparison Calculator'!$G$10=FALSE,'Plan Comparison Calculator'!$I$10=FALSE),0,Baby_Physician)</f>
        <v>0</v>
      </c>
      <c r="AH128" s="91"/>
    </row>
    <row r="129" spans="1:34" ht="15" x14ac:dyDescent="0.25">
      <c r="B129" s="89"/>
      <c r="C129" s="90"/>
      <c r="D129" s="91"/>
      <c r="E129" s="90"/>
      <c r="F129" s="91"/>
      <c r="G129" s="90"/>
      <c r="H129" s="91"/>
      <c r="I129" s="90"/>
      <c r="J129" s="91"/>
      <c r="K129" s="90"/>
      <c r="L129" s="91"/>
      <c r="M129" s="88"/>
      <c r="N129" s="90"/>
      <c r="O129" s="91"/>
      <c r="P129" s="90"/>
      <c r="Q129" s="91"/>
      <c r="R129" s="90"/>
      <c r="S129" s="91"/>
      <c r="T129" s="90"/>
      <c r="U129" s="91"/>
      <c r="V129" s="90"/>
      <c r="W129" s="91"/>
      <c r="X129" s="88"/>
      <c r="Y129" s="90"/>
      <c r="Z129" s="91"/>
      <c r="AA129" s="90"/>
      <c r="AB129" s="91"/>
      <c r="AC129" s="90"/>
      <c r="AD129" s="91"/>
      <c r="AE129" s="90"/>
      <c r="AF129" s="91"/>
      <c r="AG129" s="90"/>
      <c r="AH129" s="91"/>
    </row>
    <row r="130" spans="1:34" ht="15" x14ac:dyDescent="0.25">
      <c r="B130" s="89"/>
      <c r="C130" s="90"/>
      <c r="D130" s="91"/>
      <c r="E130" s="90"/>
      <c r="F130" s="91"/>
      <c r="G130" s="90"/>
      <c r="H130" s="91"/>
      <c r="I130" s="90"/>
      <c r="J130" s="91"/>
      <c r="K130" s="90"/>
      <c r="L130" s="91"/>
      <c r="M130" s="88"/>
      <c r="N130" s="90"/>
      <c r="O130" s="91"/>
      <c r="P130" s="90"/>
      <c r="Q130" s="91"/>
      <c r="R130" s="90"/>
      <c r="S130" s="91"/>
      <c r="T130" s="90"/>
      <c r="U130" s="91"/>
      <c r="V130" s="90"/>
      <c r="W130" s="91"/>
      <c r="X130" s="88"/>
      <c r="Y130" s="90"/>
      <c r="Z130" s="91"/>
      <c r="AA130" s="90"/>
      <c r="AB130" s="91"/>
      <c r="AC130" s="90"/>
      <c r="AD130" s="91"/>
      <c r="AE130" s="90"/>
      <c r="AF130" s="91"/>
      <c r="AG130" s="90"/>
      <c r="AH130" s="91"/>
    </row>
    <row r="131" spans="1:34" ht="15" x14ac:dyDescent="0.25">
      <c r="B131" s="89"/>
      <c r="C131" s="92"/>
      <c r="D131" s="93"/>
      <c r="E131" s="92"/>
      <c r="F131" s="93"/>
      <c r="G131" s="92"/>
      <c r="H131" s="93"/>
      <c r="I131" s="92"/>
      <c r="J131" s="93"/>
      <c r="K131" s="92"/>
      <c r="L131" s="93"/>
      <c r="M131" s="88"/>
      <c r="N131" s="92"/>
      <c r="O131" s="93"/>
      <c r="P131" s="92"/>
      <c r="Q131" s="93"/>
      <c r="R131" s="92"/>
      <c r="S131" s="93"/>
      <c r="T131" s="92"/>
      <c r="U131" s="93"/>
      <c r="V131" s="92"/>
      <c r="W131" s="93"/>
      <c r="X131" s="88"/>
      <c r="Y131" s="92"/>
      <c r="Z131" s="93"/>
      <c r="AA131" s="92"/>
      <c r="AB131" s="93"/>
      <c r="AC131" s="92"/>
      <c r="AD131" s="93"/>
      <c r="AE131" s="92"/>
      <c r="AF131" s="93"/>
      <c r="AG131" s="92"/>
      <c r="AH131" s="93"/>
    </row>
    <row r="132" spans="1:34" ht="15" x14ac:dyDescent="0.25">
      <c r="B132" s="89"/>
      <c r="C132" s="92"/>
      <c r="D132" s="93"/>
      <c r="E132" s="92"/>
      <c r="F132" s="93"/>
      <c r="G132" s="92"/>
      <c r="H132" s="93"/>
      <c r="I132" s="92"/>
      <c r="J132" s="93"/>
      <c r="K132" s="92"/>
      <c r="L132" s="93"/>
      <c r="M132" s="88"/>
      <c r="N132" s="92"/>
      <c r="O132" s="93"/>
      <c r="P132" s="92"/>
      <c r="Q132" s="93"/>
      <c r="R132" s="92"/>
      <c r="S132" s="93"/>
      <c r="T132" s="92"/>
      <c r="U132" s="93"/>
      <c r="V132" s="92"/>
      <c r="W132" s="93"/>
      <c r="X132" s="88"/>
      <c r="Y132" s="92"/>
      <c r="Z132" s="93"/>
      <c r="AA132" s="92"/>
      <c r="AB132" s="93"/>
      <c r="AC132" s="92"/>
      <c r="AD132" s="93"/>
      <c r="AE132" s="92"/>
      <c r="AF132" s="93"/>
      <c r="AG132" s="92"/>
      <c r="AH132" s="93"/>
    </row>
    <row r="133" spans="1:34" ht="15" x14ac:dyDescent="0.25">
      <c r="B133" s="89"/>
      <c r="C133" s="92"/>
      <c r="D133" s="93"/>
      <c r="E133" s="92"/>
      <c r="F133" s="93"/>
      <c r="G133" s="92"/>
      <c r="H133" s="93"/>
      <c r="I133" s="92"/>
      <c r="J133" s="93"/>
      <c r="K133" s="92"/>
      <c r="L133" s="93"/>
      <c r="M133" s="88"/>
      <c r="N133" s="92"/>
      <c r="O133" s="93"/>
      <c r="P133" s="92"/>
      <c r="Q133" s="93"/>
      <c r="R133" s="92"/>
      <c r="S133" s="93"/>
      <c r="T133" s="92"/>
      <c r="U133" s="93"/>
      <c r="V133" s="92"/>
      <c r="W133" s="93"/>
      <c r="X133" s="88"/>
      <c r="Y133" s="92"/>
      <c r="Z133" s="93"/>
      <c r="AA133" s="92"/>
      <c r="AB133" s="93"/>
      <c r="AC133" s="92"/>
      <c r="AD133" s="93"/>
      <c r="AE133" s="92"/>
      <c r="AF133" s="93"/>
      <c r="AG133" s="92"/>
      <c r="AH133" s="93"/>
    </row>
    <row r="134" spans="1:34" ht="15" x14ac:dyDescent="0.25">
      <c r="B134" s="94" t="s">
        <v>46</v>
      </c>
      <c r="C134" s="92">
        <f>'Plan Comparison Calculator'!$G$16*P3_In_OV*0</f>
        <v>0</v>
      </c>
      <c r="D134" s="93"/>
      <c r="E134" s="92">
        <f>'Plan Comparison Calculator'!$G$16*Physical_Office-C134</f>
        <v>0</v>
      </c>
      <c r="F134" s="93"/>
      <c r="G134" s="92">
        <f>'Plan Comparison Calculator'!$G$16*Physical_XrayLab</f>
        <v>0</v>
      </c>
      <c r="H134" s="93"/>
      <c r="I134" s="92"/>
      <c r="J134" s="93"/>
      <c r="K134" s="92"/>
      <c r="L134" s="93"/>
      <c r="M134" s="88"/>
      <c r="N134" s="92">
        <f>'Plan Comparison Calculator'!$I$16*P3_In_OV*0</f>
        <v>0</v>
      </c>
      <c r="O134" s="93"/>
      <c r="P134" s="92">
        <f>'Plan Comparison Calculator'!$I$16*Physical_Office-N134</f>
        <v>0</v>
      </c>
      <c r="Q134" s="93"/>
      <c r="R134" s="92">
        <f>'Plan Comparison Calculator'!$I$16*Physical_XrayLab</f>
        <v>0</v>
      </c>
      <c r="S134" s="93"/>
      <c r="T134" s="92"/>
      <c r="U134" s="93"/>
      <c r="V134" s="92"/>
      <c r="W134" s="93"/>
      <c r="X134" s="88"/>
      <c r="Y134" s="92">
        <f>'Plan Comparison Calculator'!$J$16*P3_In_OV*0</f>
        <v>0</v>
      </c>
      <c r="Z134" s="93"/>
      <c r="AA134" s="92">
        <f>'Plan Comparison Calculator'!$J$16*Physical_Office-Y134</f>
        <v>0</v>
      </c>
      <c r="AB134" s="93"/>
      <c r="AC134" s="92">
        <f>'Plan Comparison Calculator'!$J$16*Physical_XrayLab</f>
        <v>0</v>
      </c>
      <c r="AD134" s="93"/>
      <c r="AE134" s="92"/>
      <c r="AF134" s="93"/>
      <c r="AG134" s="92"/>
      <c r="AH134" s="93"/>
    </row>
    <row r="135" spans="1:34" ht="15" x14ac:dyDescent="0.25">
      <c r="B135" s="94"/>
      <c r="C135" s="92"/>
      <c r="D135" s="93"/>
      <c r="E135" s="92"/>
      <c r="F135" s="93"/>
      <c r="G135" s="92"/>
      <c r="H135" s="93"/>
      <c r="I135" s="92"/>
      <c r="J135" s="93"/>
      <c r="K135" s="92"/>
      <c r="L135" s="93"/>
      <c r="M135" s="88"/>
      <c r="N135" s="92"/>
      <c r="O135" s="93"/>
      <c r="P135" s="92"/>
      <c r="Q135" s="93"/>
      <c r="R135" s="92"/>
      <c r="S135" s="93"/>
      <c r="T135" s="92"/>
      <c r="U135" s="93"/>
      <c r="V135" s="92"/>
      <c r="W135" s="93"/>
      <c r="X135" s="88"/>
      <c r="Y135" s="92"/>
      <c r="Z135" s="93"/>
      <c r="AA135" s="92"/>
      <c r="AB135" s="93"/>
      <c r="AC135" s="92"/>
      <c r="AD135" s="93"/>
      <c r="AE135" s="92"/>
      <c r="AF135" s="93"/>
      <c r="AG135" s="92"/>
      <c r="AH135" s="93"/>
    </row>
    <row r="136" spans="1:34" ht="15" x14ac:dyDescent="0.25">
      <c r="B136" s="94" t="s">
        <v>47</v>
      </c>
      <c r="C136" s="92">
        <f>'Plan Comparison Calculator'!$G$18*P3_In_OV</f>
        <v>0</v>
      </c>
      <c r="D136" s="93"/>
      <c r="E136" s="92">
        <f>'Plan Comparison Calculator'!$G$18*Primary_Office-C136</f>
        <v>0</v>
      </c>
      <c r="F136" s="93"/>
      <c r="G136" s="92">
        <f>'Plan Comparison Calculator'!$G$18*Primary_XrayLab</f>
        <v>0</v>
      </c>
      <c r="H136" s="93"/>
      <c r="I136" s="92"/>
      <c r="J136" s="93"/>
      <c r="K136" s="92"/>
      <c r="L136" s="93"/>
      <c r="M136" s="88"/>
      <c r="N136" s="92">
        <f>'Plan Comparison Calculator'!$I$18*P3_In_OV</f>
        <v>0</v>
      </c>
      <c r="O136" s="93"/>
      <c r="P136" s="92">
        <f>'Plan Comparison Calculator'!$I$18*Primary_Office-N136</f>
        <v>0</v>
      </c>
      <c r="Q136" s="93"/>
      <c r="R136" s="92">
        <f>'Plan Comparison Calculator'!$I$18*Primary_XrayLab</f>
        <v>0</v>
      </c>
      <c r="S136" s="93"/>
      <c r="T136" s="92"/>
      <c r="U136" s="93"/>
      <c r="V136" s="92"/>
      <c r="W136" s="93"/>
      <c r="X136" s="88"/>
      <c r="Y136" s="92">
        <f>'Plan Comparison Calculator'!$J$18*P3_In_OV</f>
        <v>0</v>
      </c>
      <c r="Z136" s="93"/>
      <c r="AA136" s="92">
        <f>'Plan Comparison Calculator'!$J$18*Primary_Office-Y136</f>
        <v>0</v>
      </c>
      <c r="AB136" s="93"/>
      <c r="AC136" s="92">
        <f>'Plan Comparison Calculator'!$J$18*Primary_XrayLab</f>
        <v>0</v>
      </c>
      <c r="AD136" s="93"/>
      <c r="AE136" s="92"/>
      <c r="AF136" s="93"/>
      <c r="AG136" s="92"/>
      <c r="AH136" s="93"/>
    </row>
    <row r="137" spans="1:34" ht="15" x14ac:dyDescent="0.25">
      <c r="B137" s="94"/>
      <c r="C137" s="92"/>
      <c r="D137" s="93"/>
      <c r="E137" s="92"/>
      <c r="F137" s="93"/>
      <c r="G137" s="92"/>
      <c r="H137" s="93"/>
      <c r="I137" s="92"/>
      <c r="J137" s="93"/>
      <c r="K137" s="92"/>
      <c r="L137" s="93"/>
      <c r="M137" s="88"/>
      <c r="N137" s="92"/>
      <c r="O137" s="93"/>
      <c r="P137" s="92"/>
      <c r="Q137" s="93"/>
      <c r="R137" s="92"/>
      <c r="S137" s="93"/>
      <c r="T137" s="92"/>
      <c r="U137" s="93"/>
      <c r="V137" s="92"/>
      <c r="W137" s="93"/>
      <c r="X137" s="88"/>
      <c r="Y137" s="92"/>
      <c r="Z137" s="93"/>
      <c r="AA137" s="92"/>
      <c r="AB137" s="93"/>
      <c r="AC137" s="92"/>
      <c r="AD137" s="93"/>
      <c r="AE137" s="92"/>
      <c r="AF137" s="93"/>
      <c r="AG137" s="92"/>
      <c r="AH137" s="93"/>
    </row>
    <row r="138" spans="1:34" ht="15" x14ac:dyDescent="0.25">
      <c r="A138" s="231" t="str">
        <f>P3_Plan</f>
        <v>Essentials</v>
      </c>
      <c r="B138" s="94" t="s">
        <v>48</v>
      </c>
      <c r="C138" s="92">
        <f>'Plan Comparison Calculator'!$G$20*P3_In_OV</f>
        <v>0</v>
      </c>
      <c r="D138" s="93"/>
      <c r="E138" s="92">
        <f>Specialist_Office*'Plan Comparison Calculator'!$G$20-C138</f>
        <v>0</v>
      </c>
      <c r="F138" s="93"/>
      <c r="G138" s="92">
        <f>Specialist_XrayLab*'Plan Comparison Calculator'!$G$20</f>
        <v>0</v>
      </c>
      <c r="H138" s="93"/>
      <c r="I138" s="92"/>
      <c r="J138" s="93"/>
      <c r="K138" s="92"/>
      <c r="L138" s="93"/>
      <c r="M138" s="88"/>
      <c r="N138" s="92">
        <f>'Plan Comparison Calculator'!$I$20*P3_In_OV</f>
        <v>0</v>
      </c>
      <c r="O138" s="93"/>
      <c r="P138" s="92">
        <f>Specialist_Office*'Plan Comparison Calculator'!$I$20-N138</f>
        <v>0</v>
      </c>
      <c r="Q138" s="93"/>
      <c r="R138" s="92">
        <f>Specialist_XrayLab*'Plan Comparison Calculator'!$I$20</f>
        <v>0</v>
      </c>
      <c r="S138" s="93"/>
      <c r="T138" s="92"/>
      <c r="U138" s="93"/>
      <c r="V138" s="92"/>
      <c r="W138" s="93"/>
      <c r="X138" s="88"/>
      <c r="Y138" s="92">
        <f>'Plan Comparison Calculator'!$J$20*P3_In_OV</f>
        <v>0</v>
      </c>
      <c r="Z138" s="93"/>
      <c r="AA138" s="92">
        <f>Specialist_Office*'Plan Comparison Calculator'!$J$20-Y138</f>
        <v>0</v>
      </c>
      <c r="AB138" s="93"/>
      <c r="AC138" s="92">
        <f>Specialist_XrayLab*'Plan Comparison Calculator'!$J$20</f>
        <v>0</v>
      </c>
      <c r="AD138" s="93"/>
      <c r="AE138" s="92"/>
      <c r="AF138" s="93"/>
      <c r="AG138" s="92"/>
      <c r="AH138" s="93"/>
    </row>
    <row r="139" spans="1:34" ht="15" x14ac:dyDescent="0.25">
      <c r="A139" s="231"/>
      <c r="B139" s="94"/>
      <c r="C139" s="92"/>
      <c r="D139" s="93"/>
      <c r="E139" s="92"/>
      <c r="F139" s="93"/>
      <c r="G139" s="92"/>
      <c r="H139" s="93"/>
      <c r="I139" s="92"/>
      <c r="J139" s="93"/>
      <c r="K139" s="92"/>
      <c r="L139" s="93"/>
      <c r="M139" s="88"/>
      <c r="N139" s="92"/>
      <c r="O139" s="93"/>
      <c r="P139" s="92"/>
      <c r="Q139" s="93"/>
      <c r="R139" s="92"/>
      <c r="S139" s="93"/>
      <c r="T139" s="92"/>
      <c r="U139" s="93"/>
      <c r="V139" s="92"/>
      <c r="W139" s="93"/>
      <c r="X139" s="88"/>
      <c r="Y139" s="92"/>
      <c r="Z139" s="93"/>
      <c r="AA139" s="92"/>
      <c r="AB139" s="93"/>
      <c r="AC139" s="92"/>
      <c r="AD139" s="93"/>
      <c r="AE139" s="92"/>
      <c r="AF139" s="93"/>
      <c r="AG139" s="92"/>
      <c r="AH139" s="93"/>
    </row>
    <row r="140" spans="1:34" ht="15" x14ac:dyDescent="0.25">
      <c r="A140" s="231"/>
      <c r="B140" s="94" t="s">
        <v>49</v>
      </c>
      <c r="C140" s="92">
        <f>'Plan Comparison Calculator'!$G$22*P3_In_ER</f>
        <v>0</v>
      </c>
      <c r="D140" s="93"/>
      <c r="E140" s="92"/>
      <c r="F140" s="93"/>
      <c r="G140" s="92"/>
      <c r="H140" s="93"/>
      <c r="I140" s="92">
        <f>ER*'Plan Comparison Calculator'!$G$22-C140</f>
        <v>0</v>
      </c>
      <c r="J140" s="93"/>
      <c r="K140" s="92"/>
      <c r="L140" s="93"/>
      <c r="M140" s="88"/>
      <c r="N140" s="92">
        <f>'Plan Comparison Calculator'!$I$22*P3_In_ER</f>
        <v>0</v>
      </c>
      <c r="O140" s="93"/>
      <c r="P140" s="92"/>
      <c r="Q140" s="93"/>
      <c r="R140" s="92"/>
      <c r="S140" s="93"/>
      <c r="T140" s="92">
        <f>ER*'Plan Comparison Calculator'!$I$22-N140</f>
        <v>0</v>
      </c>
      <c r="U140" s="93"/>
      <c r="V140" s="92"/>
      <c r="W140" s="93"/>
      <c r="X140" s="88"/>
      <c r="Y140" s="92">
        <f>'Plan Comparison Calculator'!$J$22*P3_In_ER</f>
        <v>0</v>
      </c>
      <c r="Z140" s="93"/>
      <c r="AA140" s="92"/>
      <c r="AB140" s="93"/>
      <c r="AC140" s="92"/>
      <c r="AD140" s="93"/>
      <c r="AE140" s="92">
        <f>ER*'Plan Comparison Calculator'!$J$22-Y140</f>
        <v>0</v>
      </c>
      <c r="AF140" s="93"/>
      <c r="AG140" s="92"/>
      <c r="AH140" s="93"/>
    </row>
    <row r="141" spans="1:34" ht="15" x14ac:dyDescent="0.25">
      <c r="A141" s="231"/>
      <c r="B141" s="94"/>
      <c r="C141" s="92"/>
      <c r="D141" s="93"/>
      <c r="E141" s="92"/>
      <c r="F141" s="93"/>
      <c r="G141" s="92"/>
      <c r="H141" s="93"/>
      <c r="I141" s="92"/>
      <c r="J141" s="93"/>
      <c r="K141" s="92"/>
      <c r="L141" s="93"/>
      <c r="M141" s="88"/>
      <c r="N141" s="92"/>
      <c r="O141" s="93"/>
      <c r="P141" s="92"/>
      <c r="Q141" s="93"/>
      <c r="R141" s="92"/>
      <c r="S141" s="93"/>
      <c r="T141" s="92"/>
      <c r="U141" s="93"/>
      <c r="V141" s="92"/>
      <c r="W141" s="93"/>
      <c r="X141" s="88"/>
      <c r="Y141" s="92"/>
      <c r="Z141" s="93"/>
      <c r="AA141" s="92"/>
      <c r="AB141" s="93"/>
      <c r="AC141" s="92"/>
      <c r="AD141" s="93"/>
      <c r="AE141" s="92"/>
      <c r="AF141" s="93"/>
      <c r="AG141" s="92"/>
      <c r="AH141" s="93"/>
    </row>
    <row r="142" spans="1:34" ht="15" x14ac:dyDescent="0.25">
      <c r="A142" s="231"/>
      <c r="B142" s="94" t="s">
        <v>50</v>
      </c>
      <c r="C142" s="92"/>
      <c r="D142" s="93"/>
      <c r="E142" s="92"/>
      <c r="F142" s="93"/>
      <c r="G142" s="92">
        <f>Lab*'Plan Comparison Calculator'!$G$24</f>
        <v>0</v>
      </c>
      <c r="H142" s="93"/>
      <c r="I142" s="92"/>
      <c r="J142" s="93"/>
      <c r="K142" s="92"/>
      <c r="L142" s="93"/>
      <c r="M142" s="88"/>
      <c r="N142" s="92"/>
      <c r="O142" s="93"/>
      <c r="P142" s="92"/>
      <c r="Q142" s="93"/>
      <c r="R142" s="92">
        <f>Lab*'Plan Comparison Calculator'!$I$24</f>
        <v>0</v>
      </c>
      <c r="S142" s="93"/>
      <c r="T142" s="92"/>
      <c r="U142" s="93"/>
      <c r="V142" s="92"/>
      <c r="W142" s="93"/>
      <c r="X142" s="88"/>
      <c r="Y142" s="92"/>
      <c r="Z142" s="93"/>
      <c r="AA142" s="92"/>
      <c r="AB142" s="93"/>
      <c r="AC142" s="92">
        <f>Lab*'Plan Comparison Calculator'!$J$24</f>
        <v>0</v>
      </c>
      <c r="AD142" s="93"/>
      <c r="AE142" s="92"/>
      <c r="AF142" s="93"/>
      <c r="AG142" s="92"/>
      <c r="AH142" s="93"/>
    </row>
    <row r="143" spans="1:34" ht="15" x14ac:dyDescent="0.25">
      <c r="A143" s="231"/>
      <c r="B143" s="94"/>
      <c r="C143" s="92"/>
      <c r="D143" s="93"/>
      <c r="E143" s="92"/>
      <c r="F143" s="93"/>
      <c r="G143" s="92"/>
      <c r="H143" s="93"/>
      <c r="I143" s="92"/>
      <c r="J143" s="93"/>
      <c r="K143" s="92"/>
      <c r="L143" s="93"/>
      <c r="M143" s="88"/>
      <c r="N143" s="92"/>
      <c r="O143" s="93"/>
      <c r="P143" s="92"/>
      <c r="Q143" s="93"/>
      <c r="R143" s="92"/>
      <c r="S143" s="93"/>
      <c r="T143" s="92"/>
      <c r="U143" s="93"/>
      <c r="V143" s="92"/>
      <c r="W143" s="93"/>
      <c r="X143" s="88"/>
      <c r="Y143" s="92"/>
      <c r="Z143" s="93"/>
      <c r="AA143" s="92"/>
      <c r="AB143" s="93"/>
      <c r="AC143" s="92"/>
      <c r="AD143" s="93"/>
      <c r="AE143" s="92"/>
      <c r="AF143" s="93"/>
      <c r="AG143" s="92"/>
      <c r="AH143" s="93"/>
    </row>
    <row r="144" spans="1:34" ht="15" x14ac:dyDescent="0.25">
      <c r="A144" s="231"/>
      <c r="B144" s="94" t="s">
        <v>51</v>
      </c>
      <c r="C144" s="92"/>
      <c r="D144" s="93"/>
      <c r="E144" s="92"/>
      <c r="F144" s="93"/>
      <c r="G144" s="92">
        <f>Xray*'Plan Comparison Calculator'!$G$26</f>
        <v>0</v>
      </c>
      <c r="H144" s="93"/>
      <c r="I144" s="92"/>
      <c r="J144" s="93"/>
      <c r="K144" s="92"/>
      <c r="L144" s="93"/>
      <c r="M144" s="88"/>
      <c r="N144" s="92"/>
      <c r="O144" s="93"/>
      <c r="P144" s="92"/>
      <c r="Q144" s="93"/>
      <c r="R144" s="92">
        <f>Xray*'Plan Comparison Calculator'!$I$26</f>
        <v>0</v>
      </c>
      <c r="S144" s="93"/>
      <c r="T144" s="92"/>
      <c r="U144" s="93"/>
      <c r="V144" s="92"/>
      <c r="W144" s="93"/>
      <c r="X144" s="88"/>
      <c r="Y144" s="92"/>
      <c r="Z144" s="93"/>
      <c r="AA144" s="92"/>
      <c r="AB144" s="93"/>
      <c r="AC144" s="92">
        <f>Xray*'Plan Comparison Calculator'!$J$26</f>
        <v>0</v>
      </c>
      <c r="AD144" s="93"/>
      <c r="AE144" s="92"/>
      <c r="AF144" s="93"/>
      <c r="AG144" s="92"/>
      <c r="AH144" s="93"/>
    </row>
    <row r="145" spans="1:34" ht="15" x14ac:dyDescent="0.25">
      <c r="A145" s="231"/>
      <c r="B145" s="94"/>
      <c r="C145" s="92"/>
      <c r="D145" s="93"/>
      <c r="E145" s="92"/>
      <c r="F145" s="93"/>
      <c r="G145" s="92"/>
      <c r="H145" s="93"/>
      <c r="I145" s="92"/>
      <c r="J145" s="93"/>
      <c r="K145" s="92"/>
      <c r="L145" s="93"/>
      <c r="M145" s="88"/>
      <c r="N145" s="92"/>
      <c r="O145" s="93"/>
      <c r="P145" s="92"/>
      <c r="Q145" s="93"/>
      <c r="R145" s="92"/>
      <c r="S145" s="93"/>
      <c r="T145" s="92"/>
      <c r="U145" s="93"/>
      <c r="V145" s="92"/>
      <c r="W145" s="93"/>
      <c r="X145" s="88"/>
      <c r="Y145" s="92"/>
      <c r="Z145" s="93"/>
      <c r="AA145" s="92"/>
      <c r="AB145" s="93"/>
      <c r="AC145" s="92"/>
      <c r="AD145" s="93"/>
      <c r="AE145" s="92"/>
      <c r="AF145" s="93"/>
      <c r="AG145" s="92"/>
      <c r="AH145" s="93"/>
    </row>
    <row r="146" spans="1:34" ht="15" x14ac:dyDescent="0.25">
      <c r="A146" s="231"/>
      <c r="B146" s="94" t="s">
        <v>52</v>
      </c>
      <c r="C146" s="92"/>
      <c r="D146" s="93"/>
      <c r="E146" s="92"/>
      <c r="F146" s="93"/>
      <c r="G146" s="92">
        <f>CatScan*'Plan Comparison Calculator'!$G$28</f>
        <v>0</v>
      </c>
      <c r="H146" s="93"/>
      <c r="I146" s="92"/>
      <c r="J146" s="93"/>
      <c r="K146" s="92"/>
      <c r="L146" s="93"/>
      <c r="M146" s="88"/>
      <c r="N146" s="92"/>
      <c r="O146" s="93"/>
      <c r="P146" s="92"/>
      <c r="Q146" s="93"/>
      <c r="R146" s="92">
        <f>CatScan*'Plan Comparison Calculator'!$I$28</f>
        <v>0</v>
      </c>
      <c r="S146" s="93"/>
      <c r="T146" s="92"/>
      <c r="U146" s="93"/>
      <c r="V146" s="92"/>
      <c r="W146" s="93"/>
      <c r="X146" s="88"/>
      <c r="Y146" s="92"/>
      <c r="Z146" s="93"/>
      <c r="AA146" s="92"/>
      <c r="AB146" s="93"/>
      <c r="AC146" s="92">
        <f>CatScan*'Plan Comparison Calculator'!$J$28</f>
        <v>0</v>
      </c>
      <c r="AD146" s="93"/>
      <c r="AE146" s="92"/>
      <c r="AF146" s="93"/>
      <c r="AG146" s="92"/>
      <c r="AH146" s="93"/>
    </row>
    <row r="147" spans="1:34" ht="15" x14ac:dyDescent="0.25">
      <c r="A147" s="231"/>
      <c r="B147" s="94"/>
      <c r="C147" s="92"/>
      <c r="D147" s="93"/>
      <c r="E147" s="92"/>
      <c r="F147" s="93"/>
      <c r="G147" s="92"/>
      <c r="H147" s="93"/>
      <c r="I147" s="92"/>
      <c r="J147" s="93"/>
      <c r="K147" s="92"/>
      <c r="L147" s="93"/>
      <c r="M147" s="88"/>
      <c r="N147" s="92"/>
      <c r="O147" s="93"/>
      <c r="P147" s="92"/>
      <c r="Q147" s="93"/>
      <c r="R147" s="92"/>
      <c r="S147" s="93"/>
      <c r="T147" s="92"/>
      <c r="U147" s="93"/>
      <c r="V147" s="92"/>
      <c r="W147" s="93"/>
      <c r="X147" s="88"/>
      <c r="Y147" s="92"/>
      <c r="Z147" s="93"/>
      <c r="AA147" s="92"/>
      <c r="AB147" s="93"/>
      <c r="AC147" s="92"/>
      <c r="AD147" s="93"/>
      <c r="AE147" s="92"/>
      <c r="AF147" s="93"/>
      <c r="AG147" s="92"/>
      <c r="AH147" s="93"/>
    </row>
    <row r="148" spans="1:34" ht="15" x14ac:dyDescent="0.25">
      <c r="A148" s="231"/>
      <c r="B148" s="94" t="s">
        <v>53</v>
      </c>
      <c r="C148" s="92">
        <f>'Plan Comparison Calculator'!$G$30*P3_In_OP_Surgery_Copay</f>
        <v>0</v>
      </c>
      <c r="D148" s="93"/>
      <c r="E148" s="92"/>
      <c r="F148" s="93"/>
      <c r="G148" s="92"/>
      <c r="H148" s="93"/>
      <c r="I148" s="92">
        <f>Surgery_Facility*'Plan Comparison Calculator'!$G$30-C148</f>
        <v>0</v>
      </c>
      <c r="J148" s="93"/>
      <c r="K148" s="92">
        <f>Surgery_Physician*'Plan Comparison Calculator'!$G$30</f>
        <v>0</v>
      </c>
      <c r="L148" s="93"/>
      <c r="M148" s="88"/>
      <c r="N148" s="92">
        <f>'Plan Comparison Calculator'!$I$30*P3_In_OP_Surgery_Copay</f>
        <v>0</v>
      </c>
      <c r="O148" s="93"/>
      <c r="P148" s="92"/>
      <c r="Q148" s="93"/>
      <c r="R148" s="92"/>
      <c r="S148" s="93"/>
      <c r="T148" s="92">
        <f>Surgery_Facility*'Plan Comparison Calculator'!$I$30-N148</f>
        <v>0</v>
      </c>
      <c r="U148" s="93"/>
      <c r="V148" s="92">
        <f>Surgery_Physician*'Plan Comparison Calculator'!$I$30</f>
        <v>0</v>
      </c>
      <c r="W148" s="93"/>
      <c r="X148" s="88"/>
      <c r="Y148" s="92">
        <f>'Plan Comparison Calculator'!$J$30*P3_In_OP_Surgery_Copay</f>
        <v>0</v>
      </c>
      <c r="Z148" s="93"/>
      <c r="AA148" s="92"/>
      <c r="AB148" s="93"/>
      <c r="AC148" s="92"/>
      <c r="AD148" s="93"/>
      <c r="AE148" s="92">
        <f>Surgery_Facility*'Plan Comparison Calculator'!$J$30-Y148</f>
        <v>0</v>
      </c>
      <c r="AF148" s="93"/>
      <c r="AG148" s="92">
        <f>Surgery_Physician*'Plan Comparison Calculator'!$J$30</f>
        <v>0</v>
      </c>
      <c r="AH148" s="93"/>
    </row>
    <row r="149" spans="1:34" ht="15" x14ac:dyDescent="0.25">
      <c r="A149" s="231"/>
      <c r="B149" s="94"/>
      <c r="C149" s="90"/>
      <c r="D149" s="91"/>
      <c r="E149" s="90"/>
      <c r="F149" s="91"/>
      <c r="G149" s="90"/>
      <c r="H149" s="91"/>
      <c r="I149" s="90"/>
      <c r="J149" s="91"/>
      <c r="K149" s="90"/>
      <c r="L149" s="91"/>
      <c r="M149" s="88"/>
      <c r="N149" s="90"/>
      <c r="O149" s="91"/>
      <c r="P149" s="90"/>
      <c r="Q149" s="91"/>
      <c r="R149" s="90"/>
      <c r="S149" s="91"/>
      <c r="T149" s="90"/>
      <c r="U149" s="91"/>
      <c r="V149" s="90"/>
      <c r="W149" s="91"/>
      <c r="X149" s="88"/>
      <c r="Y149" s="90"/>
      <c r="Z149" s="91"/>
      <c r="AA149" s="90"/>
      <c r="AB149" s="91"/>
      <c r="AC149" s="90"/>
      <c r="AD149" s="91"/>
      <c r="AE149" s="90"/>
      <c r="AF149" s="91"/>
      <c r="AG149" s="90"/>
      <c r="AH149" s="91"/>
    </row>
    <row r="150" spans="1:34" ht="15" x14ac:dyDescent="0.25">
      <c r="A150" s="231"/>
      <c r="B150" s="94" t="s">
        <v>54</v>
      </c>
      <c r="C150" s="92">
        <f>'Plan Comparison Calculator'!$G$32*P3_In_IP_Hosp_Copay</f>
        <v>0</v>
      </c>
      <c r="D150" s="93"/>
      <c r="E150" s="90"/>
      <c r="F150" s="91"/>
      <c r="G150" s="92">
        <f>IP_XrayLab*'Plan Comparison Calculator'!$G$32</f>
        <v>0</v>
      </c>
      <c r="H150" s="93"/>
      <c r="I150" s="92">
        <f>IP_Facility*'Plan Comparison Calculator'!$G$32-C150</f>
        <v>0</v>
      </c>
      <c r="J150" s="93"/>
      <c r="K150" s="92">
        <f>IP_Physician*'Plan Comparison Calculator'!$G$32</f>
        <v>0</v>
      </c>
      <c r="L150" s="93"/>
      <c r="M150" s="88"/>
      <c r="N150" s="92">
        <f>'Plan Comparison Calculator'!$I$32*P3_In_IP_Hosp_Copay</f>
        <v>0</v>
      </c>
      <c r="O150" s="93"/>
      <c r="P150" s="90"/>
      <c r="Q150" s="91"/>
      <c r="R150" s="92">
        <f>IP_XrayLab*'Plan Comparison Calculator'!$I$32</f>
        <v>0</v>
      </c>
      <c r="S150" s="93"/>
      <c r="T150" s="92">
        <f>IP_Facility*'Plan Comparison Calculator'!$I$32-N150</f>
        <v>0</v>
      </c>
      <c r="U150" s="93"/>
      <c r="V150" s="92">
        <f>IP_Physician*'Plan Comparison Calculator'!$I$32</f>
        <v>0</v>
      </c>
      <c r="W150" s="93"/>
      <c r="X150" s="88"/>
      <c r="Y150" s="92">
        <f>'Plan Comparison Calculator'!$J$32*P3_In_IP_Hosp_Copay</f>
        <v>0</v>
      </c>
      <c r="Z150" s="93"/>
      <c r="AA150" s="90"/>
      <c r="AB150" s="91"/>
      <c r="AC150" s="92">
        <f>IP_XrayLab*'Plan Comparison Calculator'!$J$32</f>
        <v>0</v>
      </c>
      <c r="AD150" s="93"/>
      <c r="AE150" s="92">
        <f>IP_Facility*'Plan Comparison Calculator'!$J$32-Y150</f>
        <v>0</v>
      </c>
      <c r="AF150" s="93"/>
      <c r="AG150" s="92">
        <f>IP_Physician*'Plan Comparison Calculator'!$J$32</f>
        <v>0</v>
      </c>
      <c r="AH150" s="93"/>
    </row>
    <row r="151" spans="1:34" ht="15" x14ac:dyDescent="0.25">
      <c r="A151" s="231"/>
      <c r="B151" s="86"/>
      <c r="C151" s="90"/>
      <c r="D151" s="91"/>
      <c r="E151" s="90"/>
      <c r="F151" s="91"/>
      <c r="G151" s="90"/>
      <c r="H151" s="91"/>
      <c r="I151" s="90"/>
      <c r="J151" s="91"/>
      <c r="K151" s="90"/>
      <c r="L151" s="91"/>
      <c r="M151" s="88"/>
      <c r="N151" s="90"/>
      <c r="O151" s="91"/>
      <c r="P151" s="90"/>
      <c r="Q151" s="91"/>
      <c r="R151" s="90"/>
      <c r="S151" s="91"/>
      <c r="T151" s="90"/>
      <c r="U151" s="91"/>
      <c r="V151" s="90"/>
      <c r="W151" s="91"/>
      <c r="X151" s="88"/>
      <c r="Y151" s="90"/>
      <c r="Z151" s="91"/>
      <c r="AA151" s="90"/>
      <c r="AB151" s="91"/>
      <c r="AC151" s="90"/>
      <c r="AD151" s="91"/>
      <c r="AE151" s="90"/>
      <c r="AF151" s="91"/>
      <c r="AG151" s="90"/>
      <c r="AH151" s="91"/>
    </row>
    <row r="152" spans="1:34" ht="15" x14ac:dyDescent="0.25">
      <c r="A152" s="231"/>
      <c r="B152" s="86"/>
      <c r="C152" s="90"/>
      <c r="D152" s="91"/>
      <c r="E152" s="90"/>
      <c r="F152" s="91"/>
      <c r="G152" s="90"/>
      <c r="H152" s="91"/>
      <c r="I152" s="90"/>
      <c r="J152" s="91"/>
      <c r="K152" s="90"/>
      <c r="L152" s="91"/>
      <c r="M152" s="88"/>
      <c r="N152" s="90"/>
      <c r="O152" s="91"/>
      <c r="P152" s="90"/>
      <c r="Q152" s="91"/>
      <c r="R152" s="90"/>
      <c r="S152" s="91"/>
      <c r="T152" s="90"/>
      <c r="U152" s="91"/>
      <c r="V152" s="90"/>
      <c r="W152" s="91"/>
      <c r="X152" s="88"/>
      <c r="Y152" s="90"/>
      <c r="Z152" s="91"/>
      <c r="AA152" s="90"/>
      <c r="AB152" s="91"/>
      <c r="AC152" s="90"/>
      <c r="AD152" s="91"/>
      <c r="AE152" s="90"/>
      <c r="AF152" s="91"/>
      <c r="AG152" s="90"/>
      <c r="AH152" s="91"/>
    </row>
    <row r="153" spans="1:34" ht="15" x14ac:dyDescent="0.25">
      <c r="A153" s="231"/>
      <c r="B153" s="86"/>
      <c r="C153" s="90"/>
      <c r="D153" s="91"/>
      <c r="E153" s="90"/>
      <c r="F153" s="91"/>
      <c r="G153" s="90"/>
      <c r="H153" s="91"/>
      <c r="I153" s="90"/>
      <c r="J153" s="91"/>
      <c r="K153" s="90"/>
      <c r="L153" s="91"/>
      <c r="M153" s="88"/>
      <c r="N153" s="90"/>
      <c r="O153" s="91"/>
      <c r="P153" s="90"/>
      <c r="Q153" s="91"/>
      <c r="R153" s="90"/>
      <c r="S153" s="91"/>
      <c r="T153" s="90"/>
      <c r="U153" s="91"/>
      <c r="V153" s="90"/>
      <c r="W153" s="91"/>
      <c r="X153" s="88"/>
      <c r="Y153" s="90"/>
      <c r="Z153" s="91"/>
      <c r="AA153" s="90"/>
      <c r="AB153" s="91"/>
      <c r="AC153" s="90"/>
      <c r="AD153" s="91"/>
      <c r="AE153" s="90"/>
      <c r="AF153" s="91"/>
      <c r="AG153" s="90"/>
      <c r="AH153" s="91"/>
    </row>
    <row r="154" spans="1:34" ht="15" x14ac:dyDescent="0.25">
      <c r="A154" s="231"/>
      <c r="B154" s="86"/>
      <c r="C154" s="90">
        <f>SUM(C134:C150,C128)</f>
        <v>0</v>
      </c>
      <c r="D154" s="91"/>
      <c r="E154" s="90">
        <f>SUM(E136:E150,E128)</f>
        <v>0</v>
      </c>
      <c r="F154" s="91"/>
      <c r="G154" s="90">
        <f>MAX(SUM(G128:G146)-P3_In_LabMax,0)+SUM(G149:G150)</f>
        <v>0</v>
      </c>
      <c r="H154" s="91"/>
      <c r="I154" s="90">
        <f>SUM(I136:I150,I128)</f>
        <v>0</v>
      </c>
      <c r="J154" s="91"/>
      <c r="K154" s="90">
        <f>SUM(K136:K150,K128)</f>
        <v>0</v>
      </c>
      <c r="L154" s="91"/>
      <c r="M154" s="88"/>
      <c r="N154" s="90">
        <f>SUM(N134:N150,N128)</f>
        <v>0</v>
      </c>
      <c r="O154" s="91"/>
      <c r="P154" s="90">
        <f>SUM(P136:P150,P128)</f>
        <v>0</v>
      </c>
      <c r="Q154" s="91"/>
      <c r="R154" s="90">
        <f>MAX(SUM(R128:R146)-P3_In_LabMax,0)+SUM(R149:R150)</f>
        <v>0</v>
      </c>
      <c r="S154" s="91"/>
      <c r="T154" s="90">
        <f>SUM(T136:T150,T128)</f>
        <v>0</v>
      </c>
      <c r="U154" s="91"/>
      <c r="V154" s="90">
        <f>SUM(V136:V150,V128)</f>
        <v>0</v>
      </c>
      <c r="W154" s="91"/>
      <c r="X154" s="88"/>
      <c r="Y154" s="90">
        <f>SUM(Y134:Y150,Y128)</f>
        <v>0</v>
      </c>
      <c r="Z154" s="91"/>
      <c r="AA154" s="90">
        <f>SUM(AA136:AA150,AA128)</f>
        <v>0</v>
      </c>
      <c r="AB154" s="91"/>
      <c r="AC154" s="90">
        <f>MAX(SUM(AC128:AC146)-P3_In_LabMax,0)+SUM(AC149:AC150)</f>
        <v>0</v>
      </c>
      <c r="AD154" s="91"/>
      <c r="AE154" s="90">
        <f>SUM(AE136:AE150,AE128)</f>
        <v>0</v>
      </c>
      <c r="AF154" s="91"/>
      <c r="AG154" s="90">
        <f>SUM(AG136:AG150,AG128)</f>
        <v>0</v>
      </c>
      <c r="AH154" s="91"/>
    </row>
    <row r="155" spans="1:34" ht="14.25" x14ac:dyDescent="0.2">
      <c r="A155" s="231"/>
      <c r="B155" s="86"/>
      <c r="C155" s="87"/>
      <c r="D155" s="87"/>
      <c r="E155" s="87"/>
      <c r="F155" s="87"/>
      <c r="G155" s="87"/>
      <c r="H155" s="87"/>
      <c r="I155" s="87"/>
      <c r="J155" s="87"/>
      <c r="K155" s="87"/>
      <c r="L155" s="87"/>
      <c r="M155" s="88"/>
      <c r="N155" s="87"/>
      <c r="O155" s="87"/>
      <c r="P155" s="87"/>
      <c r="Q155" s="87"/>
      <c r="R155" s="87"/>
      <c r="S155" s="87"/>
      <c r="T155" s="87"/>
      <c r="U155" s="87"/>
      <c r="V155" s="87"/>
      <c r="W155" s="87"/>
      <c r="X155" s="88"/>
      <c r="Y155" s="87"/>
      <c r="Z155" s="87"/>
      <c r="AA155" s="87"/>
      <c r="AB155" s="87"/>
      <c r="AC155" s="87"/>
    </row>
    <row r="156" spans="1:34" ht="15" x14ac:dyDescent="0.25">
      <c r="A156" s="231"/>
      <c r="B156" s="86"/>
      <c r="C156" s="95" t="s">
        <v>55</v>
      </c>
      <c r="D156" s="87"/>
      <c r="E156" s="87"/>
      <c r="F156" s="87"/>
      <c r="G156" s="87"/>
      <c r="H156" s="87"/>
      <c r="I156" s="87"/>
      <c r="J156" s="87"/>
      <c r="K156" s="87"/>
      <c r="L156" s="87"/>
      <c r="M156" s="88"/>
      <c r="N156" s="87"/>
      <c r="O156" s="87"/>
      <c r="P156" s="87"/>
      <c r="Q156" s="87"/>
      <c r="R156" s="87"/>
      <c r="S156" s="87"/>
      <c r="T156" s="87"/>
      <c r="U156" s="87"/>
      <c r="V156" s="87"/>
      <c r="W156" s="87"/>
      <c r="X156" s="88"/>
      <c r="Y156" s="87"/>
      <c r="Z156" s="87"/>
      <c r="AA156" s="87"/>
      <c r="AB156" s="87"/>
      <c r="AC156" s="87"/>
    </row>
    <row r="157" spans="1:34" ht="14.25" x14ac:dyDescent="0.2">
      <c r="A157" s="231"/>
      <c r="B157" s="86"/>
      <c r="C157" s="96">
        <f>P3_In_Rx1*'Plan Comparison Calculator'!$F$38+P3_Out_Rx1*'Plan Comparison Calculator'!$K$38</f>
        <v>0</v>
      </c>
      <c r="D157" s="96"/>
      <c r="E157" s="87"/>
      <c r="F157" s="87"/>
      <c r="G157" s="87"/>
      <c r="H157" s="87"/>
      <c r="I157" s="87"/>
      <c r="J157" s="87"/>
      <c r="K157" s="87"/>
      <c r="L157" s="87"/>
      <c r="M157" s="88"/>
      <c r="N157" s="96"/>
      <c r="O157" s="96"/>
      <c r="P157" s="87"/>
      <c r="Q157" s="87"/>
      <c r="R157" s="87"/>
      <c r="S157" s="87"/>
      <c r="T157" s="87"/>
      <c r="U157" s="87"/>
      <c r="V157" s="87"/>
      <c r="W157" s="87"/>
      <c r="X157" s="88"/>
      <c r="Y157" s="96"/>
      <c r="Z157" s="87"/>
      <c r="AA157" s="87"/>
      <c r="AB157" s="87"/>
      <c r="AC157" s="87"/>
    </row>
    <row r="158" spans="1:34" ht="14.25" x14ac:dyDescent="0.2">
      <c r="A158" s="231"/>
      <c r="B158" s="86"/>
      <c r="C158" s="96">
        <f>P3_In_Rx2*'Plan Comparison Calculator'!$F$39+P3_Out_Rx2*'Plan Comparison Calculator'!$K$39</f>
        <v>0</v>
      </c>
      <c r="D158" s="96"/>
      <c r="E158" s="87"/>
      <c r="F158" s="87"/>
      <c r="G158" s="87"/>
      <c r="H158" s="87"/>
      <c r="I158" s="87"/>
      <c r="J158" s="87"/>
      <c r="K158" s="87"/>
      <c r="L158" s="87"/>
      <c r="M158" s="88"/>
      <c r="N158" s="96"/>
      <c r="O158" s="96"/>
      <c r="P158" s="87"/>
      <c r="Q158" s="87"/>
      <c r="R158" s="87"/>
      <c r="S158" s="87"/>
      <c r="T158" s="87"/>
      <c r="U158" s="87"/>
      <c r="V158" s="87"/>
      <c r="W158" s="87"/>
      <c r="X158" s="88"/>
      <c r="Y158" s="96"/>
      <c r="Z158" s="87"/>
      <c r="AA158" s="87"/>
      <c r="AB158" s="87"/>
      <c r="AC158" s="87"/>
    </row>
    <row r="159" spans="1:34" ht="14.25" x14ac:dyDescent="0.2">
      <c r="A159" s="231"/>
      <c r="B159" s="86"/>
      <c r="C159" s="96">
        <f>P3_In_Rx3*'Plan Comparison Calculator'!$F$40+P3_Out_Rx3*'Plan Comparison Calculator'!$K$40</f>
        <v>0</v>
      </c>
      <c r="D159" s="96"/>
      <c r="E159" s="87"/>
      <c r="F159" s="87"/>
      <c r="G159" s="87"/>
      <c r="H159" s="87"/>
      <c r="I159" s="87"/>
      <c r="J159" s="87"/>
      <c r="K159" s="87"/>
      <c r="L159" s="87"/>
      <c r="M159" s="88"/>
      <c r="N159" s="96"/>
      <c r="O159" s="96"/>
      <c r="P159" s="87"/>
      <c r="Q159" s="87"/>
      <c r="R159" s="87"/>
      <c r="S159" s="87"/>
      <c r="T159" s="87"/>
      <c r="U159" s="87"/>
      <c r="V159" s="87"/>
      <c r="W159" s="87"/>
      <c r="X159" s="88"/>
      <c r="Y159" s="96"/>
      <c r="Z159" s="87"/>
      <c r="AA159" s="87"/>
      <c r="AB159" s="87"/>
      <c r="AC159" s="87"/>
    </row>
    <row r="160" spans="1:34" ht="14.25" x14ac:dyDescent="0.2">
      <c r="A160" s="231"/>
      <c r="B160" s="86"/>
      <c r="C160" s="87"/>
      <c r="D160" s="87"/>
      <c r="E160" s="87"/>
      <c r="F160" s="87"/>
      <c r="G160" s="87"/>
      <c r="H160" s="87"/>
      <c r="I160" s="87"/>
      <c r="J160" s="87"/>
      <c r="K160" s="87"/>
      <c r="L160" s="87"/>
      <c r="M160" s="88"/>
      <c r="N160" s="97"/>
      <c r="O160" s="97"/>
      <c r="P160" s="97"/>
      <c r="Q160" s="97"/>
      <c r="R160" s="97"/>
      <c r="S160" s="97"/>
      <c r="T160" s="97"/>
      <c r="U160" s="97"/>
      <c r="V160" s="97"/>
      <c r="W160" s="97"/>
      <c r="X160" s="88"/>
      <c r="Y160" s="97"/>
      <c r="Z160" s="97"/>
      <c r="AA160" s="97"/>
      <c r="AB160" s="97"/>
      <c r="AC160" s="97"/>
    </row>
    <row r="161" spans="1:29" ht="15.75" x14ac:dyDescent="0.25">
      <c r="A161" s="231"/>
      <c r="B161" s="83"/>
      <c r="C161" s="98">
        <f>SUM(C157:C159)</f>
        <v>0</v>
      </c>
      <c r="D161" s="99"/>
      <c r="E161" s="100" t="s">
        <v>56</v>
      </c>
      <c r="F161" s="100"/>
      <c r="G161" s="101"/>
      <c r="H161" s="101"/>
      <c r="I161" s="101"/>
      <c r="J161" s="101"/>
      <c r="K161" s="101"/>
      <c r="L161" s="101"/>
      <c r="M161" s="85"/>
      <c r="N161" s="102"/>
      <c r="O161" s="102"/>
      <c r="P161" s="102"/>
      <c r="Q161" s="102"/>
      <c r="R161" s="102"/>
      <c r="S161" s="102"/>
      <c r="T161" s="102"/>
      <c r="U161" s="102"/>
      <c r="V161" s="102"/>
      <c r="W161" s="102"/>
      <c r="X161" s="85"/>
      <c r="Y161" s="102"/>
      <c r="Z161" s="102"/>
      <c r="AA161" s="102"/>
      <c r="AB161" s="102"/>
      <c r="AC161" s="102"/>
    </row>
    <row r="162" spans="1:29" ht="14.25" x14ac:dyDescent="0.2">
      <c r="A162" s="231"/>
      <c r="B162" s="86"/>
      <c r="C162" s="87"/>
      <c r="D162" s="87"/>
      <c r="E162" s="87"/>
      <c r="F162" s="87"/>
      <c r="G162" s="87"/>
      <c r="H162" s="87"/>
      <c r="I162" s="87"/>
      <c r="J162" s="87"/>
      <c r="K162" s="87"/>
      <c r="L162" s="87"/>
      <c r="M162" s="88"/>
      <c r="N162" s="97"/>
      <c r="O162" s="97"/>
      <c r="P162" s="97"/>
      <c r="Q162" s="97"/>
      <c r="R162" s="97"/>
      <c r="S162" s="97"/>
      <c r="T162" s="97"/>
      <c r="U162" s="97"/>
      <c r="V162" s="97"/>
      <c r="W162" s="97"/>
      <c r="X162" s="88"/>
      <c r="Y162" s="97"/>
      <c r="Z162" s="97"/>
      <c r="AA162" s="97"/>
      <c r="AB162" s="97"/>
      <c r="AC162" s="97"/>
    </row>
    <row r="163" spans="1:29" ht="14.25" x14ac:dyDescent="0.2">
      <c r="A163" s="231"/>
      <c r="B163" s="86"/>
      <c r="C163" s="87"/>
      <c r="D163" s="87"/>
      <c r="E163" s="87"/>
      <c r="F163" s="87"/>
      <c r="G163" s="87"/>
      <c r="H163" s="87"/>
      <c r="I163" s="87"/>
      <c r="J163" s="87"/>
      <c r="K163" s="87"/>
      <c r="L163" s="87"/>
      <c r="M163" s="88"/>
      <c r="N163" s="97"/>
      <c r="O163" s="97"/>
      <c r="P163" s="97"/>
      <c r="Q163" s="97"/>
      <c r="R163" s="97"/>
      <c r="S163" s="97"/>
      <c r="T163" s="97"/>
      <c r="U163" s="97"/>
      <c r="V163" s="97"/>
      <c r="W163" s="97"/>
      <c r="X163" s="88"/>
      <c r="Y163" s="97"/>
      <c r="Z163" s="97"/>
      <c r="AA163" s="97"/>
      <c r="AB163" s="97"/>
      <c r="AC163" s="97"/>
    </row>
    <row r="164" spans="1:29" ht="15.75" x14ac:dyDescent="0.25">
      <c r="A164" s="122"/>
      <c r="B164" s="103"/>
      <c r="C164" s="79"/>
      <c r="D164" s="79"/>
      <c r="E164" s="79"/>
      <c r="F164" s="79"/>
      <c r="G164" s="79"/>
      <c r="H164" s="79"/>
      <c r="I164" s="79"/>
      <c r="J164" s="79"/>
      <c r="K164" s="79"/>
      <c r="L164" s="79"/>
      <c r="M164" s="104"/>
      <c r="N164" s="105"/>
      <c r="O164" s="105"/>
      <c r="P164" s="105"/>
      <c r="Q164" s="105"/>
      <c r="R164" s="105"/>
      <c r="S164" s="105"/>
      <c r="T164" s="105"/>
      <c r="U164" s="105"/>
      <c r="V164" s="105"/>
      <c r="W164" s="105"/>
      <c r="X164" s="104"/>
      <c r="Y164" s="105"/>
      <c r="Z164" s="105"/>
      <c r="AA164" s="105"/>
      <c r="AB164" s="105"/>
      <c r="AC164" s="105"/>
    </row>
    <row r="165" spans="1:29" ht="15" x14ac:dyDescent="0.25">
      <c r="A165" s="122"/>
      <c r="B165" s="106"/>
      <c r="C165" s="107">
        <f>SUM(C154:D154)</f>
        <v>0</v>
      </c>
      <c r="D165" s="108"/>
      <c r="E165" s="100" t="s">
        <v>57</v>
      </c>
      <c r="F165" s="100"/>
      <c r="G165" s="95"/>
      <c r="H165" s="95"/>
      <c r="I165" s="95"/>
      <c r="J165" s="95"/>
      <c r="K165" s="95"/>
      <c r="L165" s="95"/>
      <c r="M165" s="109"/>
      <c r="N165" s="107">
        <f>SUM(N154:O154)*T$2</f>
        <v>0</v>
      </c>
      <c r="O165" s="110"/>
      <c r="P165" s="100" t="s">
        <v>57</v>
      </c>
      <c r="Q165" s="100"/>
      <c r="R165" s="111"/>
      <c r="S165" s="111"/>
      <c r="T165" s="111"/>
      <c r="U165" s="111"/>
      <c r="V165" s="111"/>
      <c r="W165" s="111"/>
      <c r="X165" s="109"/>
      <c r="Y165" s="107">
        <f>SUM(Y154:Z154)*AE$2</f>
        <v>0</v>
      </c>
      <c r="Z165" s="108"/>
      <c r="AA165" s="100" t="s">
        <v>57</v>
      </c>
      <c r="AB165" s="111"/>
      <c r="AC165" s="111"/>
    </row>
    <row r="166" spans="1:29" ht="15" x14ac:dyDescent="0.25">
      <c r="A166" s="122"/>
      <c r="B166" s="106"/>
      <c r="C166" s="90">
        <f>E154+G154+I154+K154</f>
        <v>0</v>
      </c>
      <c r="D166" s="95"/>
      <c r="E166" s="112" t="s">
        <v>58</v>
      </c>
      <c r="F166" s="100"/>
      <c r="G166" s="95"/>
      <c r="H166" s="95"/>
      <c r="I166" s="95"/>
      <c r="J166" s="95"/>
      <c r="K166" s="95"/>
      <c r="L166" s="95"/>
      <c r="M166" s="109"/>
      <c r="N166" s="90">
        <f>(P154+R154+T154+V154)*T$2</f>
        <v>0</v>
      </c>
      <c r="O166" s="95"/>
      <c r="P166" s="112" t="s">
        <v>58</v>
      </c>
      <c r="Q166" s="100"/>
      <c r="R166" s="111"/>
      <c r="S166" s="111"/>
      <c r="T166" s="111"/>
      <c r="U166" s="111"/>
      <c r="V166" s="111"/>
      <c r="W166" s="111"/>
      <c r="X166" s="109"/>
      <c r="Y166" s="90">
        <f>(AA154+AC154+AE154+AG154)*AE$2</f>
        <v>0</v>
      </c>
      <c r="Z166" s="95"/>
      <c r="AA166" s="112" t="s">
        <v>58</v>
      </c>
      <c r="AB166" s="111"/>
      <c r="AC166" s="111"/>
    </row>
    <row r="167" spans="1:29" ht="15" x14ac:dyDescent="0.25">
      <c r="A167" s="122"/>
      <c r="B167" s="106"/>
      <c r="C167" s="91"/>
      <c r="E167" s="113"/>
      <c r="F167" s="100"/>
      <c r="G167" s="95"/>
      <c r="H167" s="95"/>
      <c r="I167" s="95"/>
      <c r="J167" s="95"/>
      <c r="K167" s="95"/>
      <c r="L167" s="95"/>
      <c r="M167" s="109"/>
      <c r="N167" s="91"/>
      <c r="P167" s="113"/>
      <c r="Q167" s="100"/>
      <c r="R167" s="111"/>
      <c r="S167" s="111"/>
      <c r="T167" s="111"/>
      <c r="U167" s="111"/>
      <c r="V167" s="111"/>
      <c r="W167" s="111"/>
      <c r="X167" s="109"/>
      <c r="Y167" s="91"/>
      <c r="AA167" s="113"/>
      <c r="AB167" s="111"/>
      <c r="AC167" s="111"/>
    </row>
    <row r="168" spans="1:29" ht="15" x14ac:dyDescent="0.25">
      <c r="A168" s="122"/>
      <c r="B168" s="106"/>
      <c r="C168" s="90">
        <f>E154+G154+I154+K154</f>
        <v>0</v>
      </c>
      <c r="D168" s="95"/>
      <c r="E168" s="112" t="s">
        <v>59</v>
      </c>
      <c r="F168" s="100"/>
      <c r="G168" s="95"/>
      <c r="H168" s="95"/>
      <c r="I168" s="95"/>
      <c r="J168" s="95"/>
      <c r="K168" s="95"/>
      <c r="L168" s="95"/>
      <c r="M168" s="109"/>
      <c r="N168" s="90">
        <f>(P154+R154+T154+V154)*T$2</f>
        <v>0</v>
      </c>
      <c r="O168" s="95"/>
      <c r="P168" s="112" t="s">
        <v>59</v>
      </c>
      <c r="Q168" s="100"/>
      <c r="R168" s="111"/>
      <c r="S168" s="111"/>
      <c r="T168" s="111"/>
      <c r="U168" s="111"/>
      <c r="V168" s="111"/>
      <c r="W168" s="111"/>
      <c r="X168" s="109"/>
      <c r="Y168" s="90">
        <f>(AA154+AC154+AE154+AG154)*AE$2</f>
        <v>0</v>
      </c>
      <c r="Z168" s="95"/>
      <c r="AA168" s="112" t="s">
        <v>59</v>
      </c>
      <c r="AB168" s="111"/>
      <c r="AC168" s="111"/>
    </row>
    <row r="169" spans="1:29" ht="15" x14ac:dyDescent="0.25">
      <c r="A169" s="122"/>
      <c r="B169" s="106"/>
      <c r="C169" s="91"/>
      <c r="D169" s="95"/>
      <c r="E169" s="113"/>
      <c r="F169" s="111"/>
      <c r="G169" s="95"/>
      <c r="H169" s="95"/>
      <c r="I169" s="95"/>
      <c r="J169" s="95"/>
      <c r="K169" s="95"/>
      <c r="L169" s="95"/>
      <c r="M169" s="109"/>
      <c r="N169" s="91"/>
      <c r="O169" s="95"/>
      <c r="P169" s="113"/>
      <c r="Q169" s="111"/>
      <c r="R169" s="111"/>
      <c r="S169" s="111"/>
      <c r="T169" s="111"/>
      <c r="U169" s="111"/>
      <c r="V169" s="111"/>
      <c r="W169" s="111"/>
      <c r="X169" s="109"/>
      <c r="Y169" s="91"/>
      <c r="Z169" s="95"/>
      <c r="AA169" s="113"/>
      <c r="AB169" s="111"/>
      <c r="AC169" s="111"/>
    </row>
    <row r="170" spans="1:29" ht="15" x14ac:dyDescent="0.25">
      <c r="A170" s="122"/>
      <c r="B170" s="106"/>
      <c r="F170" s="100"/>
      <c r="G170" s="95"/>
      <c r="H170" s="95"/>
      <c r="I170" s="95"/>
      <c r="J170" s="95"/>
      <c r="K170" s="95"/>
      <c r="L170" s="95"/>
      <c r="M170" s="109"/>
      <c r="Q170" s="100"/>
      <c r="R170" s="111"/>
      <c r="S170" s="111"/>
      <c r="T170" s="111"/>
      <c r="U170" s="111"/>
      <c r="V170" s="111"/>
      <c r="W170" s="111"/>
      <c r="X170" s="109"/>
      <c r="AB170" s="111"/>
      <c r="AC170" s="111"/>
    </row>
    <row r="171" spans="1:29" ht="15" x14ac:dyDescent="0.25">
      <c r="A171" s="122"/>
      <c r="B171" s="106"/>
      <c r="C171" s="92">
        <f>MIN(C166,P3_In_Deduct)</f>
        <v>0</v>
      </c>
      <c r="D171" s="108"/>
      <c r="E171" s="114" t="s">
        <v>60</v>
      </c>
      <c r="G171" s="87"/>
      <c r="H171" s="87"/>
      <c r="I171" s="87"/>
      <c r="J171" s="87"/>
      <c r="K171" s="87"/>
      <c r="L171" s="87"/>
      <c r="M171" s="97"/>
      <c r="N171" s="92">
        <f>MIN(N166,P3_In_Deduct)</f>
        <v>0</v>
      </c>
      <c r="O171" s="108"/>
      <c r="P171" s="114" t="s">
        <v>60</v>
      </c>
      <c r="Q171" s="97"/>
      <c r="R171" s="97"/>
      <c r="S171" s="97"/>
      <c r="T171" s="97"/>
      <c r="U171" s="97"/>
      <c r="V171" s="97"/>
      <c r="W171" s="97"/>
      <c r="X171" s="97"/>
      <c r="Y171" s="92">
        <f>MIN(Y166,P3_In_Deduct)</f>
        <v>0</v>
      </c>
      <c r="Z171" s="108"/>
      <c r="AA171" s="114" t="s">
        <v>60</v>
      </c>
      <c r="AB171" s="97"/>
      <c r="AC171" s="97"/>
    </row>
    <row r="172" spans="1:29" ht="15" x14ac:dyDescent="0.25">
      <c r="A172" s="122"/>
      <c r="B172" s="106"/>
      <c r="C172" s="93"/>
      <c r="E172" s="115"/>
      <c r="G172" s="87"/>
      <c r="H172" s="87"/>
      <c r="I172" s="87"/>
      <c r="J172" s="87"/>
      <c r="K172" s="87"/>
      <c r="L172" s="87"/>
      <c r="M172" s="97"/>
      <c r="N172" s="93"/>
      <c r="P172" s="115"/>
      <c r="Q172" s="97"/>
      <c r="R172" s="97"/>
      <c r="S172" s="97"/>
      <c r="W172" s="108"/>
      <c r="X172" s="97"/>
      <c r="Y172" s="93"/>
      <c r="AA172" s="115"/>
      <c r="AB172" s="97"/>
      <c r="AC172" s="97"/>
    </row>
    <row r="173" spans="1:29" ht="15" x14ac:dyDescent="0.25">
      <c r="A173" s="122"/>
      <c r="B173" s="106"/>
      <c r="C173" s="93"/>
      <c r="E173" s="115"/>
      <c r="G173" s="87"/>
      <c r="H173" s="87"/>
      <c r="I173" s="87"/>
      <c r="J173" s="87"/>
      <c r="K173" s="87"/>
      <c r="L173" s="87"/>
      <c r="M173" s="97"/>
      <c r="N173" s="93"/>
      <c r="P173" s="115"/>
      <c r="Q173" s="97"/>
      <c r="R173" s="97"/>
      <c r="S173" s="97"/>
      <c r="W173" s="108"/>
      <c r="X173" s="97"/>
      <c r="Y173" s="93"/>
      <c r="AA173" s="115"/>
      <c r="AB173" s="97"/>
      <c r="AC173" s="97"/>
    </row>
    <row r="174" spans="1:29" ht="15" x14ac:dyDescent="0.25">
      <c r="A174" s="122"/>
      <c r="B174" s="106"/>
      <c r="C174" s="92">
        <f>MIN((C168-C171)*(1-P3_In_Coins),P3_In_OOPMax)</f>
        <v>0</v>
      </c>
      <c r="D174" s="108"/>
      <c r="E174" s="112" t="s">
        <v>61</v>
      </c>
      <c r="F174" s="87"/>
      <c r="G174" s="87"/>
      <c r="H174" s="87"/>
      <c r="I174" s="87"/>
      <c r="J174" s="87"/>
      <c r="K174" s="87"/>
      <c r="L174" s="87"/>
      <c r="M174" s="97"/>
      <c r="N174" s="92">
        <f>MIN((N168-N171)*(1-P3_In_Coins),P3_In_OOPMax)</f>
        <v>0</v>
      </c>
      <c r="O174" s="108"/>
      <c r="P174" s="112" t="s">
        <v>61</v>
      </c>
      <c r="Q174" s="97"/>
      <c r="R174" s="97"/>
      <c r="S174" s="97"/>
      <c r="W174" s="108"/>
      <c r="X174" s="97"/>
      <c r="Y174" s="92">
        <f>IF(Y168&gt;=Y171,MIN((Y168-Y171)*(1-P3_In_Coins),P3_In_OOPMax),0)</f>
        <v>0</v>
      </c>
      <c r="Z174" s="108"/>
      <c r="AA174" s="112" t="s">
        <v>61</v>
      </c>
      <c r="AB174" s="97"/>
      <c r="AC174" s="97"/>
    </row>
    <row r="175" spans="1:29" ht="15.75" x14ac:dyDescent="0.25">
      <c r="A175" s="122"/>
      <c r="B175" s="106"/>
      <c r="C175" s="93"/>
      <c r="D175" s="79"/>
      <c r="E175" s="113"/>
      <c r="F175" s="79"/>
      <c r="G175" s="79"/>
      <c r="H175" s="79"/>
      <c r="I175" s="79"/>
      <c r="J175" s="79"/>
      <c r="K175" s="79"/>
      <c r="L175" s="79"/>
      <c r="M175" s="105"/>
      <c r="N175" s="93"/>
      <c r="O175" s="79"/>
      <c r="P175" s="113"/>
      <c r="Q175" s="105"/>
      <c r="R175" s="105"/>
      <c r="S175" s="105"/>
      <c r="T175" s="116"/>
      <c r="U175" s="116"/>
      <c r="V175" s="105"/>
      <c r="W175" s="105"/>
      <c r="X175" s="105"/>
      <c r="Y175" s="93"/>
      <c r="Z175" s="79"/>
      <c r="AA175" s="113"/>
      <c r="AB175" s="105"/>
      <c r="AC175" s="105"/>
    </row>
    <row r="176" spans="1:29" ht="15" x14ac:dyDescent="0.25">
      <c r="A176" s="122"/>
      <c r="B176" s="106"/>
      <c r="C176" s="87"/>
      <c r="D176" s="87"/>
      <c r="E176" s="87"/>
      <c r="F176" s="87"/>
      <c r="G176" s="87"/>
      <c r="H176" s="87"/>
      <c r="I176" s="87"/>
      <c r="J176" s="87"/>
      <c r="K176" s="87"/>
      <c r="L176" s="87"/>
      <c r="M176" s="97"/>
      <c r="N176" s="97"/>
      <c r="O176" s="97"/>
      <c r="P176" s="97"/>
      <c r="Q176" s="97"/>
      <c r="R176" s="97"/>
      <c r="S176" s="97"/>
      <c r="T176" s="117"/>
      <c r="U176" s="117"/>
      <c r="V176" s="97"/>
      <c r="W176" s="97"/>
      <c r="X176" s="97"/>
      <c r="Y176" s="97"/>
      <c r="Z176" s="97"/>
      <c r="AA176" s="97"/>
      <c r="AB176" s="97"/>
      <c r="AC176" s="97"/>
    </row>
    <row r="177" spans="1:34" ht="15" x14ac:dyDescent="0.25">
      <c r="A177" s="122"/>
      <c r="B177" s="106"/>
      <c r="C177" s="195"/>
      <c r="D177" s="188" t="s">
        <v>114</v>
      </c>
      <c r="E177" s="196" t="s">
        <v>115</v>
      </c>
      <c r="F177" s="189" t="s">
        <v>116</v>
      </c>
      <c r="G177" s="197"/>
      <c r="H177" s="195"/>
      <c r="I177" s="195"/>
      <c r="J177" s="195"/>
      <c r="K177" s="195"/>
      <c r="L177" s="195"/>
      <c r="M177" s="97"/>
      <c r="N177" s="97"/>
      <c r="O177" s="97"/>
      <c r="P177" s="97"/>
      <c r="Q177" s="97"/>
      <c r="R177" s="97"/>
      <c r="S177" s="97"/>
      <c r="T177" s="97"/>
      <c r="U177" s="97"/>
      <c r="V177" s="97"/>
      <c r="W177" s="97"/>
      <c r="X177" s="97"/>
      <c r="Y177" s="97"/>
      <c r="Z177" s="97"/>
      <c r="AA177" s="97"/>
      <c r="AB177" s="97"/>
      <c r="AC177" s="97"/>
    </row>
    <row r="178" spans="1:34" ht="15.75" x14ac:dyDescent="0.25">
      <c r="A178" s="122"/>
      <c r="B178" s="106"/>
      <c r="C178" s="187" t="s">
        <v>3</v>
      </c>
      <c r="D178" s="198">
        <f t="shared" ref="D178:D183" si="2">IF(F178&lt;E178,F178,E178)</f>
        <v>0</v>
      </c>
      <c r="E178" s="201">
        <f>'Plan Defn'!H9</f>
        <v>3000</v>
      </c>
      <c r="F178" s="202">
        <f t="shared" ref="F178:F183" si="3">SUM(L$178:L$181)</f>
        <v>0</v>
      </c>
      <c r="G178" s="189" t="s">
        <v>117</v>
      </c>
      <c r="H178" s="78"/>
      <c r="I178" s="78"/>
      <c r="J178" s="78"/>
      <c r="K178" s="188" t="s">
        <v>118</v>
      </c>
      <c r="L178" s="199">
        <f>V178</f>
        <v>0</v>
      </c>
      <c r="M178" s="105"/>
      <c r="N178" s="105"/>
      <c r="O178" s="105"/>
      <c r="P178" s="105"/>
      <c r="Q178" s="105"/>
      <c r="R178" s="105"/>
      <c r="S178" s="105"/>
      <c r="T178" s="118" t="s">
        <v>62</v>
      </c>
      <c r="U178" s="118"/>
      <c r="V178" s="119">
        <f>MIN((C171+N171+Y171),(P3_In_Deduct*P3_In_FamMult))</f>
        <v>0</v>
      </c>
      <c r="W178" s="105"/>
      <c r="X178" s="105"/>
      <c r="Y178" s="105"/>
      <c r="Z178" s="105"/>
      <c r="AA178" s="105"/>
      <c r="AB178" s="105"/>
      <c r="AC178" s="105"/>
    </row>
    <row r="179" spans="1:34" ht="15" x14ac:dyDescent="0.25">
      <c r="A179" s="122"/>
      <c r="B179" s="106"/>
      <c r="C179" s="187" t="s">
        <v>100</v>
      </c>
      <c r="D179" s="198">
        <f t="shared" si="2"/>
        <v>0</v>
      </c>
      <c r="E179" s="200">
        <f>'Plan Defn'!H$10</f>
        <v>6000</v>
      </c>
      <c r="F179" s="202">
        <f t="shared" si="3"/>
        <v>0</v>
      </c>
      <c r="G179" s="189" t="s">
        <v>117</v>
      </c>
      <c r="H179" s="195"/>
      <c r="I179" s="195"/>
      <c r="J179" s="195"/>
      <c r="K179" s="188" t="s">
        <v>119</v>
      </c>
      <c r="L179" s="199">
        <f>V181</f>
        <v>0</v>
      </c>
      <c r="M179" s="97"/>
      <c r="N179" s="97"/>
      <c r="O179" s="97"/>
      <c r="P179" s="97"/>
      <c r="Q179" s="97"/>
      <c r="R179" s="97"/>
      <c r="S179" s="97"/>
      <c r="T179" s="118" t="s">
        <v>68</v>
      </c>
      <c r="V179" s="120"/>
      <c r="W179" s="97"/>
      <c r="X179" s="97"/>
      <c r="Y179" s="97"/>
      <c r="Z179" s="97"/>
      <c r="AA179" s="97"/>
      <c r="AB179" s="97"/>
      <c r="AC179" s="97"/>
    </row>
    <row r="180" spans="1:34" ht="15" x14ac:dyDescent="0.25">
      <c r="A180" s="122"/>
      <c r="B180" s="106"/>
      <c r="C180" s="187" t="s">
        <v>101</v>
      </c>
      <c r="D180" s="198">
        <f t="shared" si="2"/>
        <v>0</v>
      </c>
      <c r="E180" s="200">
        <f>'Plan Defn'!H$10</f>
        <v>6000</v>
      </c>
      <c r="F180" s="202">
        <f t="shared" si="3"/>
        <v>0</v>
      </c>
      <c r="G180" s="189" t="s">
        <v>117</v>
      </c>
      <c r="H180" s="195"/>
      <c r="I180" s="195"/>
      <c r="J180" s="195"/>
      <c r="K180" s="188" t="s">
        <v>120</v>
      </c>
      <c r="L180" s="199">
        <f>SUM(C154,N154,Y154)</f>
        <v>0</v>
      </c>
      <c r="M180" s="97"/>
      <c r="N180" s="97"/>
      <c r="O180" s="97"/>
      <c r="P180" s="97"/>
      <c r="Q180" s="97"/>
      <c r="R180" s="97"/>
      <c r="S180" s="97"/>
      <c r="T180" s="97"/>
      <c r="U180" s="97"/>
      <c r="V180" s="97"/>
      <c r="W180" s="97"/>
      <c r="X180" s="97"/>
      <c r="Y180" s="97"/>
      <c r="Z180" s="97"/>
      <c r="AA180" s="97"/>
      <c r="AB180" s="97"/>
      <c r="AC180" s="97"/>
    </row>
    <row r="181" spans="1:34" ht="15.75" x14ac:dyDescent="0.25">
      <c r="A181" s="122"/>
      <c r="B181" s="106"/>
      <c r="C181" s="187" t="s">
        <v>102</v>
      </c>
      <c r="D181" s="198">
        <f t="shared" si="2"/>
        <v>0</v>
      </c>
      <c r="E181" s="200">
        <f>'Plan Defn'!H$10</f>
        <v>6000</v>
      </c>
      <c r="F181" s="202">
        <f t="shared" si="3"/>
        <v>0</v>
      </c>
      <c r="G181" s="189" t="s">
        <v>117</v>
      </c>
      <c r="H181" s="78"/>
      <c r="I181" s="78"/>
      <c r="J181" s="78"/>
      <c r="K181" s="188" t="s">
        <v>121</v>
      </c>
      <c r="L181" s="199">
        <f>C161</f>
        <v>0</v>
      </c>
      <c r="M181" s="105"/>
      <c r="N181" s="105"/>
      <c r="O181" s="105"/>
      <c r="P181" s="105"/>
      <c r="Q181" s="105"/>
      <c r="R181" s="105"/>
      <c r="S181" s="105"/>
      <c r="T181" s="118" t="s">
        <v>63</v>
      </c>
      <c r="U181" s="118"/>
      <c r="V181" s="119">
        <f>MIN((C174+N174+Y174),(P3_In_OOPMax*P3_In_FamMult))</f>
        <v>0</v>
      </c>
      <c r="W181" s="105"/>
      <c r="X181" s="105"/>
      <c r="Y181" s="105"/>
      <c r="Z181" s="105"/>
      <c r="AA181" s="105"/>
      <c r="AB181" s="105"/>
      <c r="AC181" s="105"/>
    </row>
    <row r="182" spans="1:34" ht="15" x14ac:dyDescent="0.25">
      <c r="A182" s="122"/>
      <c r="B182" s="106"/>
      <c r="C182" s="187" t="s">
        <v>103</v>
      </c>
      <c r="D182" s="198">
        <f t="shared" si="2"/>
        <v>0</v>
      </c>
      <c r="E182" s="200">
        <f>'Plan Defn'!H$10</f>
        <v>6000</v>
      </c>
      <c r="F182" s="202">
        <f t="shared" si="3"/>
        <v>0</v>
      </c>
      <c r="G182" s="189" t="s">
        <v>117</v>
      </c>
      <c r="H182" s="195"/>
      <c r="I182" s="195"/>
      <c r="J182" s="195"/>
      <c r="K182" s="195"/>
      <c r="L182" s="195"/>
      <c r="M182" s="97"/>
      <c r="N182" s="97"/>
      <c r="O182" s="97"/>
      <c r="P182" s="97"/>
      <c r="Q182" s="97"/>
      <c r="R182" s="97"/>
      <c r="S182" s="97"/>
      <c r="T182" s="118" t="s">
        <v>69</v>
      </c>
      <c r="U182" s="97"/>
      <c r="V182" s="107"/>
      <c r="W182" s="97"/>
      <c r="X182" s="97"/>
      <c r="Y182" s="97"/>
      <c r="Z182" s="97"/>
      <c r="AA182" s="97"/>
      <c r="AB182" s="97"/>
      <c r="AC182" s="97"/>
    </row>
    <row r="183" spans="1:34" x14ac:dyDescent="0.2">
      <c r="C183" s="187" t="s">
        <v>104</v>
      </c>
      <c r="D183" s="198">
        <f t="shared" si="2"/>
        <v>0</v>
      </c>
      <c r="E183" s="200">
        <f>'Plan Defn'!H$10</f>
        <v>6000</v>
      </c>
      <c r="F183" s="202">
        <f t="shared" si="3"/>
        <v>0</v>
      </c>
      <c r="G183" s="189" t="s">
        <v>117</v>
      </c>
      <c r="H183" s="195"/>
      <c r="I183" s="195"/>
      <c r="J183" s="195"/>
      <c r="K183" s="195"/>
      <c r="L183" s="195"/>
    </row>
    <row r="184" spans="1:34" ht="15.75" x14ac:dyDescent="0.25">
      <c r="B184" s="83"/>
      <c r="C184" s="235" t="s">
        <v>6</v>
      </c>
      <c r="D184" s="235"/>
      <c r="E184" s="235"/>
      <c r="F184" s="235"/>
      <c r="G184" s="235"/>
      <c r="H184" s="235"/>
      <c r="I184" s="235"/>
      <c r="J184" s="235"/>
      <c r="K184" s="235"/>
      <c r="L184" s="84"/>
      <c r="M184" s="85"/>
      <c r="N184" s="235" t="s">
        <v>7</v>
      </c>
      <c r="O184" s="235"/>
      <c r="P184" s="235"/>
      <c r="Q184" s="235"/>
      <c r="R184" s="235"/>
      <c r="S184" s="235"/>
      <c r="T184" s="235"/>
      <c r="U184" s="235"/>
      <c r="V184" s="235"/>
      <c r="W184" s="84"/>
      <c r="X184" s="85"/>
      <c r="Y184" s="235" t="s">
        <v>11</v>
      </c>
      <c r="Z184" s="235"/>
      <c r="AA184" s="235"/>
      <c r="AB184" s="235"/>
      <c r="AC184" s="235"/>
      <c r="AD184" s="235"/>
      <c r="AE184" s="235"/>
      <c r="AF184" s="235"/>
      <c r="AG184" s="235"/>
      <c r="AH184" s="235"/>
    </row>
    <row r="185" spans="1:34" ht="15.75" x14ac:dyDescent="0.25">
      <c r="B185" s="83"/>
      <c r="C185" s="233" t="s">
        <v>37</v>
      </c>
      <c r="D185" s="233"/>
      <c r="E185" s="233" t="s">
        <v>38</v>
      </c>
      <c r="F185" s="233"/>
      <c r="G185" s="234" t="s">
        <v>39</v>
      </c>
      <c r="H185" s="234"/>
      <c r="I185" s="233" t="s">
        <v>40</v>
      </c>
      <c r="J185" s="233"/>
      <c r="K185" s="233" t="s">
        <v>41</v>
      </c>
      <c r="L185" s="233"/>
      <c r="M185" s="85"/>
      <c r="N185" s="233" t="s">
        <v>37</v>
      </c>
      <c r="O185" s="233"/>
      <c r="P185" s="233" t="s">
        <v>38</v>
      </c>
      <c r="Q185" s="233"/>
      <c r="R185" s="234" t="s">
        <v>39</v>
      </c>
      <c r="S185" s="234"/>
      <c r="T185" s="233" t="s">
        <v>40</v>
      </c>
      <c r="U185" s="233"/>
      <c r="V185" s="233" t="s">
        <v>41</v>
      </c>
      <c r="W185" s="233"/>
      <c r="X185" s="85"/>
      <c r="Y185" s="233" t="s">
        <v>37</v>
      </c>
      <c r="Z185" s="233"/>
      <c r="AA185" s="233" t="s">
        <v>38</v>
      </c>
      <c r="AB185" s="233"/>
      <c r="AC185" s="234" t="s">
        <v>39</v>
      </c>
      <c r="AD185" s="234"/>
      <c r="AE185" s="233" t="s">
        <v>40</v>
      </c>
      <c r="AF185" s="233"/>
      <c r="AG185" s="233" t="s">
        <v>41</v>
      </c>
      <c r="AH185" s="233"/>
    </row>
    <row r="186" spans="1:34" ht="14.25" x14ac:dyDescent="0.2">
      <c r="B186" s="86"/>
      <c r="C186" s="232" t="s">
        <v>42</v>
      </c>
      <c r="D186" s="232"/>
      <c r="E186" s="232" t="s">
        <v>42</v>
      </c>
      <c r="F186" s="232"/>
      <c r="G186" s="232" t="s">
        <v>42</v>
      </c>
      <c r="H186" s="232"/>
      <c r="I186" s="232" t="s">
        <v>42</v>
      </c>
      <c r="J186" s="232"/>
      <c r="K186" s="232" t="s">
        <v>42</v>
      </c>
      <c r="L186" s="232"/>
      <c r="M186" s="88"/>
      <c r="N186" s="232" t="s">
        <v>42</v>
      </c>
      <c r="O186" s="232"/>
      <c r="P186" s="232" t="s">
        <v>42</v>
      </c>
      <c r="Q186" s="232"/>
      <c r="R186" s="232" t="s">
        <v>42</v>
      </c>
      <c r="S186" s="232"/>
      <c r="T186" s="232" t="s">
        <v>42</v>
      </c>
      <c r="U186" s="232"/>
      <c r="V186" s="232" t="s">
        <v>42</v>
      </c>
      <c r="W186" s="232"/>
      <c r="X186" s="88"/>
      <c r="Y186" s="232" t="s">
        <v>42</v>
      </c>
      <c r="Z186" s="232"/>
      <c r="AA186" s="232" t="s">
        <v>42</v>
      </c>
      <c r="AB186" s="232"/>
      <c r="AC186" s="232" t="s">
        <v>42</v>
      </c>
      <c r="AD186" s="232"/>
      <c r="AE186" s="232" t="s">
        <v>42</v>
      </c>
      <c r="AF186" s="232"/>
      <c r="AG186" s="232" t="s">
        <v>42</v>
      </c>
      <c r="AH186" s="232"/>
    </row>
    <row r="187" spans="1:34" ht="14.25" x14ac:dyDescent="0.2">
      <c r="B187" s="86"/>
      <c r="C187" s="87" t="s">
        <v>43</v>
      </c>
      <c r="D187" s="87" t="s">
        <v>44</v>
      </c>
      <c r="E187" s="87" t="s">
        <v>43</v>
      </c>
      <c r="F187" s="87" t="s">
        <v>44</v>
      </c>
      <c r="G187" s="87" t="s">
        <v>43</v>
      </c>
      <c r="H187" s="87" t="s">
        <v>44</v>
      </c>
      <c r="I187" s="87" t="s">
        <v>43</v>
      </c>
      <c r="J187" s="87" t="s">
        <v>44</v>
      </c>
      <c r="K187" s="87" t="s">
        <v>43</v>
      </c>
      <c r="L187" s="87" t="s">
        <v>44</v>
      </c>
      <c r="M187" s="88"/>
      <c r="N187" s="87" t="s">
        <v>43</v>
      </c>
      <c r="O187" s="87" t="s">
        <v>44</v>
      </c>
      <c r="P187" s="87" t="s">
        <v>43</v>
      </c>
      <c r="Q187" s="87" t="s">
        <v>44</v>
      </c>
      <c r="R187" s="87" t="s">
        <v>43</v>
      </c>
      <c r="S187" s="87" t="s">
        <v>44</v>
      </c>
      <c r="T187" s="87" t="s">
        <v>43</v>
      </c>
      <c r="U187" s="87" t="s">
        <v>44</v>
      </c>
      <c r="V187" s="87" t="s">
        <v>43</v>
      </c>
      <c r="W187" s="87" t="s">
        <v>44</v>
      </c>
      <c r="X187" s="88"/>
      <c r="Y187" s="87" t="s">
        <v>43</v>
      </c>
      <c r="Z187" s="87" t="s">
        <v>44</v>
      </c>
      <c r="AA187" s="87" t="s">
        <v>43</v>
      </c>
      <c r="AB187" s="87" t="s">
        <v>44</v>
      </c>
      <c r="AC187" s="87" t="s">
        <v>43</v>
      </c>
      <c r="AD187" s="87" t="s">
        <v>44</v>
      </c>
      <c r="AE187" s="87" t="s">
        <v>43</v>
      </c>
      <c r="AF187" s="87" t="s">
        <v>44</v>
      </c>
      <c r="AG187" s="87" t="s">
        <v>43</v>
      </c>
      <c r="AH187" s="87" t="s">
        <v>44</v>
      </c>
    </row>
    <row r="188" spans="1:34" ht="15" x14ac:dyDescent="0.25">
      <c r="B188" s="89" t="s">
        <v>45</v>
      </c>
      <c r="C188" s="90">
        <f>IF('Plan Comparison Calculator'!$G$10=FALSE,0,3*P1_In_Ov+P3_In_Maternity_IP_Copay)</f>
        <v>0</v>
      </c>
      <c r="D188" s="91"/>
      <c r="E188" s="90">
        <f>IF('Plan Comparison Calculator'!$G$10=FALSE,0,Maternity_Office)</f>
        <v>0</v>
      </c>
      <c r="F188" s="91"/>
      <c r="G188" s="90">
        <f>IF('Plan Comparison Calculator'!$G$10=FALSE,0,Maternity_XrayLab)</f>
        <v>0</v>
      </c>
      <c r="H188" s="91"/>
      <c r="I188" s="90">
        <f>IF('Plan Comparison Calculator'!$G$10=FALSE,0,Maternity_Facility)</f>
        <v>0</v>
      </c>
      <c r="J188" s="91"/>
      <c r="K188" s="90">
        <f>IF('Plan Comparison Calculator'!$G$10=FALSE,0,Maternity_Physician)</f>
        <v>0</v>
      </c>
      <c r="L188" s="91"/>
      <c r="M188" s="88"/>
      <c r="N188" s="90">
        <f>IF('Plan Comparison Calculator'!$I$10=FALSE,0,3*P1_In_Ov+P3_In_Maternity_IP_Copay)</f>
        <v>0</v>
      </c>
      <c r="O188" s="91"/>
      <c r="P188" s="90">
        <f>IF('Plan Comparison Calculator'!$I$10=FALSE,0,Maternity_Office)</f>
        <v>0</v>
      </c>
      <c r="Q188" s="91"/>
      <c r="R188" s="90">
        <f>IF('Plan Comparison Calculator'!$I$10=FALSE,0,Maternity_XrayLab)</f>
        <v>0</v>
      </c>
      <c r="S188" s="91"/>
      <c r="T188" s="90">
        <f>IF('Plan Comparison Calculator'!$I$10=FALSE,0,Maternity_Facility)</f>
        <v>0</v>
      </c>
      <c r="U188" s="91"/>
      <c r="V188" s="90">
        <f>IF('Plan Comparison Calculator'!$I$10=FALSE,0,Maternity_Physician)</f>
        <v>0</v>
      </c>
      <c r="W188" s="91"/>
      <c r="X188" s="88"/>
      <c r="Y188" s="90"/>
      <c r="Z188" s="91"/>
      <c r="AA188" s="90"/>
      <c r="AB188" s="91"/>
      <c r="AC188" s="90"/>
      <c r="AD188" s="91"/>
      <c r="AE188" s="90">
        <f>IF(AND('Plan Comparison Calculator'!$G$10=FALSE,'Plan Comparison Calculator'!$I$10=FALSE),0,Baby_Facility)</f>
        <v>0</v>
      </c>
      <c r="AF188" s="91"/>
      <c r="AG188" s="90">
        <f>IF(AND('Plan Comparison Calculator'!$G$10=FALSE,'Plan Comparison Calculator'!$I$10=FALSE),0,Baby_Physician)</f>
        <v>0</v>
      </c>
      <c r="AH188" s="91"/>
    </row>
    <row r="189" spans="1:34" ht="15" x14ac:dyDescent="0.25">
      <c r="B189" s="89"/>
      <c r="C189" s="90"/>
      <c r="D189" s="91"/>
      <c r="E189" s="90"/>
      <c r="F189" s="91"/>
      <c r="G189" s="90"/>
      <c r="H189" s="91"/>
      <c r="I189" s="90"/>
      <c r="J189" s="91"/>
      <c r="K189" s="90"/>
      <c r="L189" s="91"/>
      <c r="M189" s="88"/>
      <c r="N189" s="90"/>
      <c r="O189" s="91"/>
      <c r="P189" s="90"/>
      <c r="Q189" s="91"/>
      <c r="R189" s="90"/>
      <c r="S189" s="91"/>
      <c r="T189" s="90"/>
      <c r="U189" s="91"/>
      <c r="V189" s="90"/>
      <c r="W189" s="91"/>
      <c r="X189" s="88"/>
      <c r="Y189" s="90"/>
      <c r="Z189" s="91"/>
      <c r="AA189" s="90"/>
      <c r="AB189" s="91"/>
      <c r="AC189" s="90"/>
      <c r="AD189" s="91"/>
      <c r="AE189" s="90"/>
      <c r="AF189" s="91"/>
      <c r="AG189" s="90"/>
      <c r="AH189" s="91"/>
    </row>
    <row r="190" spans="1:34" ht="15" x14ac:dyDescent="0.25">
      <c r="B190" s="89"/>
      <c r="C190" s="90"/>
      <c r="D190" s="91"/>
      <c r="E190" s="90"/>
      <c r="F190" s="91"/>
      <c r="G190" s="90"/>
      <c r="H190" s="91"/>
      <c r="I190" s="90"/>
      <c r="J190" s="91"/>
      <c r="K190" s="90"/>
      <c r="L190" s="91"/>
      <c r="M190" s="88"/>
      <c r="N190" s="90"/>
      <c r="O190" s="91"/>
      <c r="P190" s="90"/>
      <c r="Q190" s="91"/>
      <c r="R190" s="90"/>
      <c r="S190" s="91"/>
      <c r="T190" s="90"/>
      <c r="U190" s="91"/>
      <c r="V190" s="90"/>
      <c r="W190" s="91"/>
      <c r="X190" s="88"/>
      <c r="Y190" s="90"/>
      <c r="Z190" s="91"/>
      <c r="AA190" s="90"/>
      <c r="AB190" s="91"/>
      <c r="AC190" s="90"/>
      <c r="AD190" s="91"/>
      <c r="AE190" s="90"/>
      <c r="AF190" s="91"/>
      <c r="AG190" s="90"/>
      <c r="AH190" s="91"/>
    </row>
    <row r="191" spans="1:34" ht="15" x14ac:dyDescent="0.25">
      <c r="B191" s="89"/>
      <c r="C191" s="92"/>
      <c r="D191" s="93"/>
      <c r="E191" s="92"/>
      <c r="F191" s="93"/>
      <c r="G191" s="92"/>
      <c r="H191" s="93"/>
      <c r="I191" s="92"/>
      <c r="J191" s="93"/>
      <c r="K191" s="92"/>
      <c r="L191" s="93"/>
      <c r="M191" s="88"/>
      <c r="N191" s="92"/>
      <c r="O191" s="93"/>
      <c r="P191" s="92"/>
      <c r="Q191" s="93"/>
      <c r="R191" s="92"/>
      <c r="S191" s="93"/>
      <c r="T191" s="92"/>
      <c r="U191" s="93"/>
      <c r="V191" s="92"/>
      <c r="W191" s="93"/>
      <c r="X191" s="88"/>
      <c r="Y191" s="92"/>
      <c r="Z191" s="93"/>
      <c r="AA191" s="92"/>
      <c r="AB191" s="93"/>
      <c r="AC191" s="92"/>
      <c r="AD191" s="93"/>
      <c r="AE191" s="92"/>
      <c r="AF191" s="93"/>
      <c r="AG191" s="92"/>
      <c r="AH191" s="93"/>
    </row>
    <row r="192" spans="1:34" ht="15" x14ac:dyDescent="0.25">
      <c r="B192" s="89"/>
      <c r="C192" s="92"/>
      <c r="D192" s="93"/>
      <c r="E192" s="92"/>
      <c r="F192" s="93"/>
      <c r="G192" s="92"/>
      <c r="H192" s="93"/>
      <c r="I192" s="92"/>
      <c r="J192" s="93"/>
      <c r="K192" s="92"/>
      <c r="L192" s="93"/>
      <c r="M192" s="88"/>
      <c r="N192" s="92"/>
      <c r="O192" s="93"/>
      <c r="P192" s="92"/>
      <c r="Q192" s="93"/>
      <c r="R192" s="92"/>
      <c r="S192" s="93"/>
      <c r="T192" s="92"/>
      <c r="U192" s="93"/>
      <c r="V192" s="92"/>
      <c r="W192" s="93"/>
      <c r="X192" s="88"/>
      <c r="Y192" s="92"/>
      <c r="Z192" s="93"/>
      <c r="AA192" s="92"/>
      <c r="AB192" s="93"/>
      <c r="AC192" s="92"/>
      <c r="AD192" s="93"/>
      <c r="AE192" s="92"/>
      <c r="AF192" s="93"/>
      <c r="AG192" s="92"/>
      <c r="AH192" s="93"/>
    </row>
    <row r="193" spans="1:34" ht="15" x14ac:dyDescent="0.25">
      <c r="B193" s="89"/>
      <c r="C193" s="92"/>
      <c r="D193" s="93"/>
      <c r="E193" s="92"/>
      <c r="F193" s="93"/>
      <c r="G193" s="92"/>
      <c r="H193" s="93"/>
      <c r="I193" s="92"/>
      <c r="J193" s="93"/>
      <c r="K193" s="92"/>
      <c r="L193" s="93"/>
      <c r="M193" s="88"/>
      <c r="N193" s="92"/>
      <c r="O193" s="93"/>
      <c r="P193" s="92"/>
      <c r="Q193" s="93"/>
      <c r="R193" s="92"/>
      <c r="S193" s="93"/>
      <c r="T193" s="92"/>
      <c r="U193" s="93"/>
      <c r="V193" s="92"/>
      <c r="W193" s="93"/>
      <c r="X193" s="88"/>
      <c r="Y193" s="92"/>
      <c r="Z193" s="93"/>
      <c r="AA193" s="92"/>
      <c r="AB193" s="93"/>
      <c r="AC193" s="92"/>
      <c r="AD193" s="93"/>
      <c r="AE193" s="92"/>
      <c r="AF193" s="93"/>
      <c r="AG193" s="92"/>
      <c r="AH193" s="93"/>
    </row>
    <row r="194" spans="1:34" ht="15" x14ac:dyDescent="0.25">
      <c r="B194" s="94" t="s">
        <v>46</v>
      </c>
      <c r="C194" s="92">
        <f>'Plan Comparison Calculator'!$G$16*P1_In_Ov*0</f>
        <v>0</v>
      </c>
      <c r="D194" s="93"/>
      <c r="E194" s="92">
        <f>'Plan Comparison Calculator'!$G$16*Physical_Office-C194</f>
        <v>0</v>
      </c>
      <c r="F194" s="93"/>
      <c r="G194" s="92">
        <f>'Plan Comparison Calculator'!$G$16*Physical_XrayLab</f>
        <v>0</v>
      </c>
      <c r="H194" s="93"/>
      <c r="I194" s="92"/>
      <c r="J194" s="93"/>
      <c r="K194" s="92"/>
      <c r="L194" s="93"/>
      <c r="M194" s="88"/>
      <c r="N194" s="92">
        <f>'Plan Comparison Calculator'!$I$16*P1_In_Ov*0</f>
        <v>0</v>
      </c>
      <c r="O194" s="93"/>
      <c r="P194" s="92">
        <f>'Plan Comparison Calculator'!$I$16*Physical_Office-N194</f>
        <v>0</v>
      </c>
      <c r="Q194" s="93"/>
      <c r="R194" s="92">
        <f>'Plan Comparison Calculator'!$I$16*Physical_XrayLab</f>
        <v>0</v>
      </c>
      <c r="S194" s="93"/>
      <c r="T194" s="92"/>
      <c r="U194" s="93"/>
      <c r="V194" s="92"/>
      <c r="W194" s="93"/>
      <c r="X194" s="88"/>
      <c r="Y194" s="92">
        <f>'Plan Comparison Calculator'!$J$16*P3_In_OV*0</f>
        <v>0</v>
      </c>
      <c r="Z194" s="93"/>
      <c r="AA194" s="92">
        <f>'Plan Comparison Calculator'!$J$16*Physical_Office-Y194</f>
        <v>0</v>
      </c>
      <c r="AB194" s="93"/>
      <c r="AC194" s="92">
        <f>'Plan Comparison Calculator'!$J$16*Physical_XrayLab</f>
        <v>0</v>
      </c>
      <c r="AD194" s="93"/>
      <c r="AE194" s="92"/>
      <c r="AF194" s="93"/>
      <c r="AG194" s="92"/>
      <c r="AH194" s="93"/>
    </row>
    <row r="195" spans="1:34" ht="15" x14ac:dyDescent="0.25">
      <c r="B195" s="94"/>
      <c r="C195" s="92"/>
      <c r="D195" s="93"/>
      <c r="E195" s="92"/>
      <c r="F195" s="93"/>
      <c r="G195" s="92"/>
      <c r="H195" s="93"/>
      <c r="I195" s="92"/>
      <c r="J195" s="93"/>
      <c r="K195" s="92"/>
      <c r="L195" s="93"/>
      <c r="M195" s="88"/>
      <c r="N195" s="92"/>
      <c r="O195" s="93"/>
      <c r="P195" s="92"/>
      <c r="Q195" s="93"/>
      <c r="R195" s="92"/>
      <c r="S195" s="93"/>
      <c r="T195" s="92"/>
      <c r="U195" s="93"/>
      <c r="V195" s="92"/>
      <c r="W195" s="93"/>
      <c r="X195" s="88"/>
      <c r="Y195" s="92"/>
      <c r="Z195" s="93"/>
      <c r="AA195" s="92"/>
      <c r="AB195" s="93"/>
      <c r="AC195" s="92"/>
      <c r="AD195" s="93"/>
      <c r="AE195" s="92"/>
      <c r="AF195" s="93"/>
      <c r="AG195" s="92"/>
      <c r="AH195" s="93"/>
    </row>
    <row r="196" spans="1:34" ht="15" x14ac:dyDescent="0.25">
      <c r="B196" s="94" t="s">
        <v>47</v>
      </c>
      <c r="C196" s="92">
        <f>'Plan Comparison Calculator'!$G$18*P1_In_Ov</f>
        <v>0</v>
      </c>
      <c r="D196" s="93"/>
      <c r="E196" s="92">
        <f>'Plan Comparison Calculator'!$G$18*Primary_Office-C196</f>
        <v>0</v>
      </c>
      <c r="F196" s="93"/>
      <c r="G196" s="92">
        <f>'Plan Comparison Calculator'!$G$18*Primary_XrayLab</f>
        <v>0</v>
      </c>
      <c r="H196" s="93"/>
      <c r="I196" s="92"/>
      <c r="J196" s="93"/>
      <c r="K196" s="92"/>
      <c r="L196" s="93"/>
      <c r="M196" s="88"/>
      <c r="N196" s="92">
        <f>'Plan Comparison Calculator'!$I$18*P1_In_Ov</f>
        <v>0</v>
      </c>
      <c r="O196" s="93"/>
      <c r="P196" s="92">
        <f>'Plan Comparison Calculator'!$I$18*Primary_Office-N196</f>
        <v>0</v>
      </c>
      <c r="Q196" s="93"/>
      <c r="R196" s="92">
        <f>'Plan Comparison Calculator'!$I$18*Primary_XrayLab</f>
        <v>0</v>
      </c>
      <c r="S196" s="93"/>
      <c r="T196" s="92"/>
      <c r="U196" s="93"/>
      <c r="V196" s="92"/>
      <c r="W196" s="93"/>
      <c r="X196" s="88"/>
      <c r="Y196" s="92">
        <f>'Plan Comparison Calculator'!$J$18*P3_In_OV</f>
        <v>0</v>
      </c>
      <c r="Z196" s="93"/>
      <c r="AA196" s="92">
        <f>'Plan Comparison Calculator'!$J$18*Primary_Office-Y196</f>
        <v>0</v>
      </c>
      <c r="AB196" s="93"/>
      <c r="AC196" s="92">
        <f>'Plan Comparison Calculator'!$J$18*Primary_XrayLab</f>
        <v>0</v>
      </c>
      <c r="AD196" s="93"/>
      <c r="AE196" s="92"/>
      <c r="AF196" s="93"/>
      <c r="AG196" s="92"/>
      <c r="AH196" s="93"/>
    </row>
    <row r="197" spans="1:34" ht="15" x14ac:dyDescent="0.25">
      <c r="B197" s="94"/>
      <c r="C197" s="92"/>
      <c r="D197" s="93"/>
      <c r="E197" s="92"/>
      <c r="F197" s="93"/>
      <c r="G197" s="92"/>
      <c r="H197" s="93"/>
      <c r="I197" s="92"/>
      <c r="J197" s="93"/>
      <c r="K197" s="92"/>
      <c r="L197" s="93"/>
      <c r="M197" s="88"/>
      <c r="N197" s="92"/>
      <c r="O197" s="93"/>
      <c r="P197" s="92"/>
      <c r="Q197" s="93"/>
      <c r="R197" s="92"/>
      <c r="S197" s="93"/>
      <c r="T197" s="92"/>
      <c r="U197" s="93"/>
      <c r="V197" s="92"/>
      <c r="W197" s="93"/>
      <c r="X197" s="88"/>
      <c r="Y197" s="92"/>
      <c r="Z197" s="93"/>
      <c r="AA197" s="92"/>
      <c r="AB197" s="93"/>
      <c r="AC197" s="92"/>
      <c r="AD197" s="93"/>
      <c r="AE197" s="92"/>
      <c r="AF197" s="93"/>
      <c r="AG197" s="92"/>
      <c r="AH197" s="93"/>
    </row>
    <row r="198" spans="1:34" ht="15" x14ac:dyDescent="0.25">
      <c r="A198" s="231" t="str">
        <f>P1_Plan</f>
        <v>HSA</v>
      </c>
      <c r="B198" s="94" t="s">
        <v>48</v>
      </c>
      <c r="C198" s="92">
        <f>'Plan Comparison Calculator'!$G$20*P1_In_Ov</f>
        <v>0</v>
      </c>
      <c r="D198" s="93"/>
      <c r="E198" s="92">
        <f>Specialist_Office*'Plan Comparison Calculator'!$G$20-C198</f>
        <v>0</v>
      </c>
      <c r="F198" s="93"/>
      <c r="G198" s="92">
        <f>Specialist_XrayLab*'Plan Comparison Calculator'!$G$20</f>
        <v>0</v>
      </c>
      <c r="H198" s="93"/>
      <c r="I198" s="92"/>
      <c r="J198" s="93"/>
      <c r="K198" s="92"/>
      <c r="L198" s="93"/>
      <c r="M198" s="88"/>
      <c r="N198" s="92">
        <f>'Plan Comparison Calculator'!$I$20*P1_In_Ov</f>
        <v>0</v>
      </c>
      <c r="O198" s="93"/>
      <c r="P198" s="92">
        <f>Specialist_Office*'Plan Comparison Calculator'!$I$20-N198</f>
        <v>0</v>
      </c>
      <c r="Q198" s="93"/>
      <c r="R198" s="92">
        <f>Specialist_XrayLab*'Plan Comparison Calculator'!$I$20</f>
        <v>0</v>
      </c>
      <c r="S198" s="93"/>
      <c r="T198" s="92"/>
      <c r="U198" s="93"/>
      <c r="V198" s="92"/>
      <c r="W198" s="93"/>
      <c r="X198" s="88"/>
      <c r="Y198" s="92">
        <f>'Plan Comparison Calculator'!$J$20*P3_In_OV</f>
        <v>0</v>
      </c>
      <c r="Z198" s="93"/>
      <c r="AA198" s="92">
        <f>Specialist_Office*'Plan Comparison Calculator'!$J$20-Y198</f>
        <v>0</v>
      </c>
      <c r="AB198" s="93"/>
      <c r="AC198" s="92">
        <f>Specialist_XrayLab*'Plan Comparison Calculator'!$J$20</f>
        <v>0</v>
      </c>
      <c r="AD198" s="93"/>
      <c r="AE198" s="92"/>
      <c r="AF198" s="93"/>
      <c r="AG198" s="92"/>
      <c r="AH198" s="93"/>
    </row>
    <row r="199" spans="1:34" ht="15" x14ac:dyDescent="0.25">
      <c r="A199" s="231"/>
      <c r="B199" s="94"/>
      <c r="C199" s="92"/>
      <c r="D199" s="93"/>
      <c r="E199" s="92"/>
      <c r="F199" s="93"/>
      <c r="G199" s="92"/>
      <c r="H199" s="93"/>
      <c r="I199" s="92"/>
      <c r="J199" s="93"/>
      <c r="K199" s="92"/>
      <c r="L199" s="93"/>
      <c r="M199" s="88"/>
      <c r="N199" s="92"/>
      <c r="O199" s="93"/>
      <c r="P199" s="92"/>
      <c r="Q199" s="93"/>
      <c r="R199" s="92"/>
      <c r="S199" s="93"/>
      <c r="T199" s="92"/>
      <c r="U199" s="93"/>
      <c r="V199" s="92"/>
      <c r="W199" s="93"/>
      <c r="X199" s="88"/>
      <c r="Y199" s="92"/>
      <c r="Z199" s="93"/>
      <c r="AA199" s="92"/>
      <c r="AB199" s="93"/>
      <c r="AC199" s="92"/>
      <c r="AD199" s="93"/>
      <c r="AE199" s="92"/>
      <c r="AF199" s="93"/>
      <c r="AG199" s="92"/>
      <c r="AH199" s="93"/>
    </row>
    <row r="200" spans="1:34" ht="15" x14ac:dyDescent="0.25">
      <c r="A200" s="231"/>
      <c r="B200" s="94" t="s">
        <v>49</v>
      </c>
      <c r="C200" s="92">
        <f>'Plan Comparison Calculator'!$G$22*P1_In_ER</f>
        <v>0</v>
      </c>
      <c r="D200" s="93"/>
      <c r="E200" s="92"/>
      <c r="F200" s="93"/>
      <c r="G200" s="92"/>
      <c r="H200" s="93"/>
      <c r="I200" s="92">
        <f>ER*'Plan Comparison Calculator'!$G$22-C200</f>
        <v>0</v>
      </c>
      <c r="J200" s="93"/>
      <c r="K200" s="92"/>
      <c r="L200" s="93"/>
      <c r="M200" s="88"/>
      <c r="N200" s="92">
        <f>'Plan Comparison Calculator'!$I$22*P1_In_ER</f>
        <v>0</v>
      </c>
      <c r="O200" s="93"/>
      <c r="P200" s="92"/>
      <c r="Q200" s="93"/>
      <c r="R200" s="92"/>
      <c r="S200" s="93"/>
      <c r="T200" s="92">
        <f>ER*'Plan Comparison Calculator'!$I$22-N200</f>
        <v>0</v>
      </c>
      <c r="U200" s="93"/>
      <c r="V200" s="92"/>
      <c r="W200" s="93"/>
      <c r="X200" s="88"/>
      <c r="Y200" s="92">
        <f>'Plan Comparison Calculator'!$J$22*P3_In_ER</f>
        <v>0</v>
      </c>
      <c r="Z200" s="93"/>
      <c r="AA200" s="92"/>
      <c r="AB200" s="93"/>
      <c r="AC200" s="92"/>
      <c r="AD200" s="93"/>
      <c r="AE200" s="92">
        <f>ER*'Plan Comparison Calculator'!$J$22-Y200</f>
        <v>0</v>
      </c>
      <c r="AF200" s="93"/>
      <c r="AG200" s="92"/>
      <c r="AH200" s="93"/>
    </row>
    <row r="201" spans="1:34" ht="15" x14ac:dyDescent="0.25">
      <c r="A201" s="231"/>
      <c r="B201" s="94"/>
      <c r="C201" s="92"/>
      <c r="D201" s="93"/>
      <c r="E201" s="92"/>
      <c r="F201" s="93"/>
      <c r="G201" s="92"/>
      <c r="H201" s="93"/>
      <c r="I201" s="92"/>
      <c r="J201" s="93"/>
      <c r="K201" s="92"/>
      <c r="L201" s="93"/>
      <c r="M201" s="88"/>
      <c r="N201" s="92"/>
      <c r="O201" s="93"/>
      <c r="P201" s="92"/>
      <c r="Q201" s="93"/>
      <c r="R201" s="92"/>
      <c r="S201" s="93"/>
      <c r="T201" s="92"/>
      <c r="U201" s="93"/>
      <c r="V201" s="92"/>
      <c r="W201" s="93"/>
      <c r="X201" s="88"/>
      <c r="Y201" s="92"/>
      <c r="Z201" s="93"/>
      <c r="AA201" s="92"/>
      <c r="AB201" s="93"/>
      <c r="AC201" s="92"/>
      <c r="AD201" s="93"/>
      <c r="AE201" s="92"/>
      <c r="AF201" s="93"/>
      <c r="AG201" s="92"/>
      <c r="AH201" s="93"/>
    </row>
    <row r="202" spans="1:34" ht="15" x14ac:dyDescent="0.25">
      <c r="A202" s="231"/>
      <c r="B202" s="94" t="s">
        <v>50</v>
      </c>
      <c r="C202" s="92"/>
      <c r="D202" s="93"/>
      <c r="E202" s="92"/>
      <c r="F202" s="93"/>
      <c r="G202" s="92">
        <f>Lab*'Plan Comparison Calculator'!$G$24</f>
        <v>0</v>
      </c>
      <c r="H202" s="93"/>
      <c r="I202" s="92"/>
      <c r="J202" s="93"/>
      <c r="K202" s="92"/>
      <c r="L202" s="93"/>
      <c r="M202" s="88"/>
      <c r="N202" s="92"/>
      <c r="O202" s="93"/>
      <c r="P202" s="92"/>
      <c r="Q202" s="93"/>
      <c r="R202" s="92">
        <f>Lab*'Plan Comparison Calculator'!$I$24</f>
        <v>0</v>
      </c>
      <c r="S202" s="93"/>
      <c r="T202" s="92"/>
      <c r="U202" s="93"/>
      <c r="V202" s="92"/>
      <c r="W202" s="93"/>
      <c r="X202" s="88"/>
      <c r="Y202" s="92"/>
      <c r="Z202" s="93"/>
      <c r="AA202" s="92"/>
      <c r="AB202" s="93"/>
      <c r="AC202" s="92">
        <f>Lab*'Plan Comparison Calculator'!$J$24</f>
        <v>0</v>
      </c>
      <c r="AD202" s="93"/>
      <c r="AE202" s="92"/>
      <c r="AF202" s="93"/>
      <c r="AG202" s="92"/>
      <c r="AH202" s="93"/>
    </row>
    <row r="203" spans="1:34" ht="15" x14ac:dyDescent="0.25">
      <c r="A203" s="231"/>
      <c r="B203" s="94"/>
      <c r="C203" s="92"/>
      <c r="D203" s="93"/>
      <c r="E203" s="92"/>
      <c r="F203" s="93"/>
      <c r="G203" s="92"/>
      <c r="H203" s="93"/>
      <c r="I203" s="92"/>
      <c r="J203" s="93"/>
      <c r="K203" s="92"/>
      <c r="L203" s="93"/>
      <c r="M203" s="88"/>
      <c r="N203" s="92"/>
      <c r="O203" s="93"/>
      <c r="P203" s="92"/>
      <c r="Q203" s="93"/>
      <c r="R203" s="92"/>
      <c r="S203" s="93"/>
      <c r="T203" s="92"/>
      <c r="U203" s="93"/>
      <c r="V203" s="92"/>
      <c r="W203" s="93"/>
      <c r="X203" s="88"/>
      <c r="Y203" s="92"/>
      <c r="Z203" s="93"/>
      <c r="AA203" s="92"/>
      <c r="AB203" s="93"/>
      <c r="AC203" s="92"/>
      <c r="AD203" s="93"/>
      <c r="AE203" s="92"/>
      <c r="AF203" s="93"/>
      <c r="AG203" s="92"/>
      <c r="AH203" s="93"/>
    </row>
    <row r="204" spans="1:34" ht="15" x14ac:dyDescent="0.25">
      <c r="A204" s="231"/>
      <c r="B204" s="94" t="s">
        <v>51</v>
      </c>
      <c r="C204" s="92"/>
      <c r="D204" s="93"/>
      <c r="E204" s="92"/>
      <c r="F204" s="93"/>
      <c r="G204" s="92">
        <f>Xray*'Plan Comparison Calculator'!$G$26</f>
        <v>0</v>
      </c>
      <c r="H204" s="93"/>
      <c r="I204" s="92"/>
      <c r="J204" s="93"/>
      <c r="K204" s="92"/>
      <c r="L204" s="93"/>
      <c r="M204" s="88"/>
      <c r="N204" s="92"/>
      <c r="O204" s="93"/>
      <c r="P204" s="92"/>
      <c r="Q204" s="93"/>
      <c r="R204" s="92">
        <f>Xray*'Plan Comparison Calculator'!$I$26</f>
        <v>0</v>
      </c>
      <c r="S204" s="93"/>
      <c r="T204" s="92"/>
      <c r="U204" s="93"/>
      <c r="V204" s="92"/>
      <c r="W204" s="93"/>
      <c r="X204" s="88"/>
      <c r="Y204" s="92"/>
      <c r="Z204" s="93"/>
      <c r="AA204" s="92"/>
      <c r="AB204" s="93"/>
      <c r="AC204" s="92">
        <f>Xray*'Plan Comparison Calculator'!$J$26</f>
        <v>0</v>
      </c>
      <c r="AD204" s="93"/>
      <c r="AE204" s="92"/>
      <c r="AF204" s="93"/>
      <c r="AG204" s="92"/>
      <c r="AH204" s="93"/>
    </row>
    <row r="205" spans="1:34" ht="15" x14ac:dyDescent="0.25">
      <c r="A205" s="231"/>
      <c r="B205" s="94"/>
      <c r="C205" s="92"/>
      <c r="D205" s="93"/>
      <c r="E205" s="92"/>
      <c r="F205" s="93"/>
      <c r="G205" s="92"/>
      <c r="H205" s="93"/>
      <c r="I205" s="92"/>
      <c r="J205" s="93"/>
      <c r="K205" s="92"/>
      <c r="L205" s="93"/>
      <c r="M205" s="88"/>
      <c r="N205" s="92"/>
      <c r="O205" s="93"/>
      <c r="P205" s="92"/>
      <c r="Q205" s="93"/>
      <c r="R205" s="92"/>
      <c r="S205" s="93"/>
      <c r="T205" s="92"/>
      <c r="U205" s="93"/>
      <c r="V205" s="92"/>
      <c r="W205" s="93"/>
      <c r="X205" s="88"/>
      <c r="Y205" s="92"/>
      <c r="Z205" s="93"/>
      <c r="AA205" s="92"/>
      <c r="AB205" s="93"/>
      <c r="AC205" s="92"/>
      <c r="AD205" s="93"/>
      <c r="AE205" s="92"/>
      <c r="AF205" s="93"/>
      <c r="AG205" s="92"/>
      <c r="AH205" s="93"/>
    </row>
    <row r="206" spans="1:34" ht="15" x14ac:dyDescent="0.25">
      <c r="A206" s="231"/>
      <c r="B206" s="94" t="s">
        <v>52</v>
      </c>
      <c r="C206" s="92"/>
      <c r="D206" s="93"/>
      <c r="E206" s="92"/>
      <c r="F206" s="93"/>
      <c r="G206" s="92">
        <f>CatScan*'Plan Comparison Calculator'!$G$28</f>
        <v>0</v>
      </c>
      <c r="H206" s="93"/>
      <c r="I206" s="92"/>
      <c r="J206" s="93"/>
      <c r="K206" s="92"/>
      <c r="L206" s="93"/>
      <c r="M206" s="88"/>
      <c r="N206" s="92"/>
      <c r="O206" s="93"/>
      <c r="P206" s="92"/>
      <c r="Q206" s="93"/>
      <c r="R206" s="92">
        <f>CatScan*'Plan Comparison Calculator'!$I$28</f>
        <v>0</v>
      </c>
      <c r="S206" s="93"/>
      <c r="T206" s="92"/>
      <c r="U206" s="93"/>
      <c r="V206" s="92"/>
      <c r="W206" s="93"/>
      <c r="X206" s="88"/>
      <c r="Y206" s="92"/>
      <c r="Z206" s="93"/>
      <c r="AA206" s="92"/>
      <c r="AB206" s="93"/>
      <c r="AC206" s="92">
        <f>CatScan*'Plan Comparison Calculator'!$J$28</f>
        <v>0</v>
      </c>
      <c r="AD206" s="93"/>
      <c r="AE206" s="92"/>
      <c r="AF206" s="93"/>
      <c r="AG206" s="92"/>
      <c r="AH206" s="93"/>
    </row>
    <row r="207" spans="1:34" ht="15" x14ac:dyDescent="0.25">
      <c r="A207" s="231"/>
      <c r="B207" s="94"/>
      <c r="C207" s="92"/>
      <c r="D207" s="93"/>
      <c r="E207" s="92"/>
      <c r="F207" s="93"/>
      <c r="G207" s="92"/>
      <c r="H207" s="93"/>
      <c r="I207" s="92"/>
      <c r="J207" s="93"/>
      <c r="K207" s="92"/>
      <c r="L207" s="93"/>
      <c r="M207" s="88"/>
      <c r="N207" s="92"/>
      <c r="O207" s="93"/>
      <c r="P207" s="92"/>
      <c r="Q207" s="93"/>
      <c r="R207" s="92"/>
      <c r="S207" s="93"/>
      <c r="T207" s="92"/>
      <c r="U207" s="93"/>
      <c r="V207" s="92"/>
      <c r="W207" s="93"/>
      <c r="X207" s="88"/>
      <c r="Y207" s="92"/>
      <c r="Z207" s="93"/>
      <c r="AA207" s="92"/>
      <c r="AB207" s="93"/>
      <c r="AC207" s="92"/>
      <c r="AD207" s="93"/>
      <c r="AE207" s="92"/>
      <c r="AF207" s="93"/>
      <c r="AG207" s="92"/>
      <c r="AH207" s="93"/>
    </row>
    <row r="208" spans="1:34" ht="15" x14ac:dyDescent="0.25">
      <c r="A208" s="231"/>
      <c r="B208" s="94" t="s">
        <v>53</v>
      </c>
      <c r="C208" s="92">
        <f>'Plan Comparison Calculator'!$G$30*P1_In_OP_Surgery_Copay</f>
        <v>0</v>
      </c>
      <c r="D208" s="93"/>
      <c r="E208" s="92"/>
      <c r="F208" s="93"/>
      <c r="G208" s="92"/>
      <c r="H208" s="93"/>
      <c r="I208" s="92">
        <f>Surgery_Facility*'Plan Comparison Calculator'!$G$30-C208</f>
        <v>0</v>
      </c>
      <c r="J208" s="93"/>
      <c r="K208" s="92">
        <f>Surgery_Physician*'Plan Comparison Calculator'!$G$30</f>
        <v>0</v>
      </c>
      <c r="L208" s="93"/>
      <c r="M208" s="88"/>
      <c r="N208" s="92">
        <f>'Plan Comparison Calculator'!$I$30*P1_In_OP_Surgery_Copay</f>
        <v>0</v>
      </c>
      <c r="O208" s="93"/>
      <c r="P208" s="92"/>
      <c r="Q208" s="93"/>
      <c r="R208" s="92"/>
      <c r="S208" s="93"/>
      <c r="T208" s="92">
        <f>Surgery_Facility*'Plan Comparison Calculator'!$I$30-N208</f>
        <v>0</v>
      </c>
      <c r="U208" s="93"/>
      <c r="V208" s="92">
        <f>Surgery_Physician*'Plan Comparison Calculator'!$I$30</f>
        <v>0</v>
      </c>
      <c r="W208" s="93"/>
      <c r="X208" s="88"/>
      <c r="Y208" s="92">
        <f>'Plan Comparison Calculator'!$J$30*P3_In_OP_Surgery_Copay</f>
        <v>0</v>
      </c>
      <c r="Z208" s="93"/>
      <c r="AA208" s="92"/>
      <c r="AB208" s="93"/>
      <c r="AC208" s="92"/>
      <c r="AD208" s="93"/>
      <c r="AE208" s="92">
        <f>Surgery_Facility*'Plan Comparison Calculator'!$J$30-Y208</f>
        <v>0</v>
      </c>
      <c r="AF208" s="93"/>
      <c r="AG208" s="92">
        <f>Surgery_Physician*'Plan Comparison Calculator'!$J$30</f>
        <v>0</v>
      </c>
      <c r="AH208" s="93"/>
    </row>
    <row r="209" spans="1:34" ht="15" x14ac:dyDescent="0.25">
      <c r="A209" s="231"/>
      <c r="B209" s="94"/>
      <c r="C209" s="90"/>
      <c r="D209" s="91"/>
      <c r="E209" s="90"/>
      <c r="F209" s="91"/>
      <c r="G209" s="90"/>
      <c r="H209" s="91"/>
      <c r="I209" s="90"/>
      <c r="J209" s="91"/>
      <c r="K209" s="90"/>
      <c r="L209" s="91"/>
      <c r="M209" s="88"/>
      <c r="N209" s="90"/>
      <c r="O209" s="91"/>
      <c r="P209" s="90"/>
      <c r="Q209" s="91"/>
      <c r="R209" s="90"/>
      <c r="S209" s="91"/>
      <c r="T209" s="90"/>
      <c r="U209" s="91"/>
      <c r="V209" s="90"/>
      <c r="W209" s="91"/>
      <c r="X209" s="88"/>
      <c r="Y209" s="90"/>
      <c r="Z209" s="91"/>
      <c r="AA209" s="90"/>
      <c r="AB209" s="91"/>
      <c r="AC209" s="90"/>
      <c r="AD209" s="91"/>
      <c r="AE209" s="90"/>
      <c r="AF209" s="91"/>
      <c r="AG209" s="90"/>
      <c r="AH209" s="91"/>
    </row>
    <row r="210" spans="1:34" ht="15" x14ac:dyDescent="0.25">
      <c r="A210" s="231"/>
      <c r="B210" s="94" t="s">
        <v>54</v>
      </c>
      <c r="C210" s="92">
        <f>'Plan Comparison Calculator'!$G$32*P1_In_IP_Hosp_Copay</f>
        <v>0</v>
      </c>
      <c r="D210" s="93"/>
      <c r="E210" s="90"/>
      <c r="F210" s="91"/>
      <c r="G210" s="92">
        <f>IP_XrayLab*'Plan Comparison Calculator'!$G$32</f>
        <v>0</v>
      </c>
      <c r="H210" s="93"/>
      <c r="I210" s="92">
        <f>IP_Facility*'Plan Comparison Calculator'!$G$32-C210</f>
        <v>0</v>
      </c>
      <c r="J210" s="93"/>
      <c r="K210" s="92">
        <f>IP_Physician*'Plan Comparison Calculator'!$G$32</f>
        <v>0</v>
      </c>
      <c r="L210" s="93"/>
      <c r="M210" s="88"/>
      <c r="N210" s="92">
        <f>'Plan Comparison Calculator'!$I$32*P1_In_IP_Hosp_Copay</f>
        <v>0</v>
      </c>
      <c r="O210" s="93"/>
      <c r="P210" s="90"/>
      <c r="Q210" s="91"/>
      <c r="R210" s="92">
        <f>IP_XrayLab*'Plan Comparison Calculator'!$I$32</f>
        <v>0</v>
      </c>
      <c r="S210" s="93"/>
      <c r="T210" s="92">
        <f>IP_Facility*'Plan Comparison Calculator'!$I$32-N210</f>
        <v>0</v>
      </c>
      <c r="U210" s="93"/>
      <c r="V210" s="92">
        <f>IP_Physician*'Plan Comparison Calculator'!$I$32</f>
        <v>0</v>
      </c>
      <c r="W210" s="93"/>
      <c r="X210" s="88"/>
      <c r="Y210" s="92">
        <f>'Plan Comparison Calculator'!$J$32*P3_In_IP_Hosp_Copay</f>
        <v>0</v>
      </c>
      <c r="Z210" s="93"/>
      <c r="AA210" s="90"/>
      <c r="AB210" s="91"/>
      <c r="AC210" s="92">
        <f>IP_XrayLab*'Plan Comparison Calculator'!$J$32</f>
        <v>0</v>
      </c>
      <c r="AD210" s="93"/>
      <c r="AE210" s="92">
        <f>IP_Facility*'Plan Comparison Calculator'!$J$32-Y210</f>
        <v>0</v>
      </c>
      <c r="AF210" s="93"/>
      <c r="AG210" s="92">
        <f>IP_Physician*'Plan Comparison Calculator'!$J$32</f>
        <v>0</v>
      </c>
      <c r="AH210" s="93"/>
    </row>
    <row r="211" spans="1:34" ht="15" x14ac:dyDescent="0.25">
      <c r="A211" s="231"/>
      <c r="B211" s="86"/>
      <c r="C211" s="90"/>
      <c r="D211" s="91"/>
      <c r="E211" s="90"/>
      <c r="F211" s="91"/>
      <c r="G211" s="90"/>
      <c r="H211" s="91"/>
      <c r="I211" s="90"/>
      <c r="J211" s="91"/>
      <c r="K211" s="90"/>
      <c r="L211" s="91"/>
      <c r="M211" s="88"/>
      <c r="N211" s="90"/>
      <c r="O211" s="91"/>
      <c r="P211" s="90"/>
      <c r="Q211" s="91"/>
      <c r="R211" s="90"/>
      <c r="S211" s="91"/>
      <c r="T211" s="90"/>
      <c r="U211" s="91"/>
      <c r="V211" s="90"/>
      <c r="W211" s="91"/>
      <c r="X211" s="88"/>
      <c r="Y211" s="90"/>
      <c r="Z211" s="91"/>
      <c r="AA211" s="90"/>
      <c r="AB211" s="91"/>
      <c r="AC211" s="90"/>
      <c r="AD211" s="91"/>
      <c r="AE211" s="90"/>
      <c r="AF211" s="91"/>
      <c r="AG211" s="90"/>
      <c r="AH211" s="91"/>
    </row>
    <row r="212" spans="1:34" ht="15" x14ac:dyDescent="0.25">
      <c r="A212" s="231"/>
      <c r="B212" s="86"/>
      <c r="C212" s="90"/>
      <c r="D212" s="91"/>
      <c r="E212" s="90"/>
      <c r="F212" s="91"/>
      <c r="G212" s="90"/>
      <c r="H212" s="91"/>
      <c r="I212" s="90"/>
      <c r="J212" s="91"/>
      <c r="K212" s="90"/>
      <c r="L212" s="91"/>
      <c r="M212" s="88"/>
      <c r="N212" s="90"/>
      <c r="O212" s="91"/>
      <c r="P212" s="90"/>
      <c r="Q212" s="91"/>
      <c r="R212" s="90"/>
      <c r="S212" s="91"/>
      <c r="T212" s="90"/>
      <c r="U212" s="91"/>
      <c r="V212" s="90"/>
      <c r="W212" s="91"/>
      <c r="X212" s="88"/>
      <c r="Y212" s="90"/>
      <c r="Z212" s="91"/>
      <c r="AA212" s="90"/>
      <c r="AB212" s="91"/>
      <c r="AC212" s="90"/>
      <c r="AD212" s="91"/>
      <c r="AE212" s="90"/>
      <c r="AF212" s="91"/>
      <c r="AG212" s="90"/>
      <c r="AH212" s="91"/>
    </row>
    <row r="213" spans="1:34" ht="15" x14ac:dyDescent="0.25">
      <c r="A213" s="231"/>
      <c r="B213" s="86"/>
      <c r="C213" s="90"/>
      <c r="D213" s="91"/>
      <c r="E213" s="90"/>
      <c r="F213" s="91"/>
      <c r="G213" s="90"/>
      <c r="H213" s="91"/>
      <c r="I213" s="90"/>
      <c r="J213" s="91"/>
      <c r="K213" s="90"/>
      <c r="L213" s="91"/>
      <c r="M213" s="88"/>
      <c r="N213" s="90"/>
      <c r="O213" s="91"/>
      <c r="P213" s="90"/>
      <c r="Q213" s="91"/>
      <c r="R213" s="90"/>
      <c r="S213" s="91"/>
      <c r="T213" s="90"/>
      <c r="U213" s="91"/>
      <c r="V213" s="90"/>
      <c r="W213" s="91"/>
      <c r="X213" s="88"/>
      <c r="Y213" s="90"/>
      <c r="Z213" s="91"/>
      <c r="AA213" s="90"/>
      <c r="AB213" s="91"/>
      <c r="AC213" s="90"/>
      <c r="AD213" s="91"/>
      <c r="AE213" s="90"/>
      <c r="AF213" s="91"/>
      <c r="AG213" s="90"/>
      <c r="AH213" s="91"/>
    </row>
    <row r="214" spans="1:34" ht="15" x14ac:dyDescent="0.25">
      <c r="A214" s="231"/>
      <c r="B214" s="86"/>
      <c r="C214" s="90">
        <f>SUM(C194:C210,C188)</f>
        <v>0</v>
      </c>
      <c r="D214" s="91"/>
      <c r="E214" s="90">
        <f>SUM(E196:E210,E188)</f>
        <v>0</v>
      </c>
      <c r="F214" s="91"/>
      <c r="G214" s="90">
        <f>MAX(SUM(G188:G206)-P1_In_LabMax,0)+SUM(G209:G210)</f>
        <v>0</v>
      </c>
      <c r="H214" s="91"/>
      <c r="I214" s="90">
        <f>SUM(I196:I210,I188)</f>
        <v>0</v>
      </c>
      <c r="J214" s="91"/>
      <c r="K214" s="90">
        <f>SUM(K196:K210,K188)</f>
        <v>0</v>
      </c>
      <c r="L214" s="91"/>
      <c r="M214" s="88"/>
      <c r="N214" s="90">
        <f>SUM(N194:N210,N188)</f>
        <v>0</v>
      </c>
      <c r="O214" s="91"/>
      <c r="P214" s="90">
        <f>SUM(P196:P210,P188)</f>
        <v>0</v>
      </c>
      <c r="Q214" s="91"/>
      <c r="R214" s="90">
        <f>MAX(SUM(R188:R206)-P1_In_LabMax,0)+SUM(R209:R210)</f>
        <v>0</v>
      </c>
      <c r="S214" s="91"/>
      <c r="T214" s="90">
        <f>SUM(T196:T210,T188)</f>
        <v>0</v>
      </c>
      <c r="U214" s="91"/>
      <c r="V214" s="90">
        <f>SUM(V196:V210,V188)</f>
        <v>0</v>
      </c>
      <c r="W214" s="91"/>
      <c r="X214" s="88"/>
      <c r="Y214" s="90">
        <f>SUM(Y194:Y210,Y188)</f>
        <v>0</v>
      </c>
      <c r="Z214" s="91"/>
      <c r="AA214" s="90">
        <f>SUM(AA196:AA210,AA188)</f>
        <v>0</v>
      </c>
      <c r="AB214" s="91"/>
      <c r="AC214" s="90">
        <f>MAX(SUM(AC188:AC206)-P3_In_LabMax,0)+SUM(AC209:AC210)</f>
        <v>0</v>
      </c>
      <c r="AD214" s="91"/>
      <c r="AE214" s="90">
        <f>SUM(AE196:AE210,AE188)</f>
        <v>0</v>
      </c>
      <c r="AF214" s="91"/>
      <c r="AG214" s="90">
        <f>SUM(AG196:AG210,AG188)</f>
        <v>0</v>
      </c>
      <c r="AH214" s="91"/>
    </row>
    <row r="215" spans="1:34" ht="14.25" x14ac:dyDescent="0.2">
      <c r="A215" s="231"/>
      <c r="B215" s="86"/>
      <c r="C215" s="87"/>
      <c r="D215" s="87"/>
      <c r="E215" s="87"/>
      <c r="F215" s="87"/>
      <c r="G215" s="87"/>
      <c r="H215" s="87"/>
      <c r="I215" s="87"/>
      <c r="J215" s="87"/>
      <c r="K215" s="87"/>
      <c r="L215" s="87"/>
      <c r="M215" s="88"/>
      <c r="N215" s="87"/>
      <c r="O215" s="87"/>
      <c r="P215" s="87"/>
      <c r="Q215" s="87"/>
      <c r="R215" s="87"/>
      <c r="S215" s="87"/>
      <c r="T215" s="87"/>
      <c r="U215" s="87"/>
      <c r="V215" s="87"/>
      <c r="W215" s="87"/>
      <c r="X215" s="88"/>
      <c r="Y215" s="87"/>
      <c r="Z215" s="87"/>
      <c r="AA215" s="87"/>
      <c r="AB215" s="87"/>
      <c r="AC215" s="87"/>
    </row>
    <row r="216" spans="1:34" ht="15" x14ac:dyDescent="0.25">
      <c r="A216" s="231"/>
      <c r="B216" s="86"/>
      <c r="C216" s="95" t="s">
        <v>55</v>
      </c>
      <c r="D216" s="87"/>
      <c r="E216" s="87"/>
      <c r="F216" s="87"/>
      <c r="G216" s="87"/>
      <c r="H216" s="87"/>
      <c r="I216" s="87"/>
      <c r="J216" s="87"/>
      <c r="K216" s="87"/>
      <c r="L216" s="87"/>
      <c r="M216" s="88"/>
      <c r="N216" s="87"/>
      <c r="O216" s="87"/>
      <c r="P216" s="87"/>
      <c r="Q216" s="87"/>
      <c r="R216" s="87"/>
      <c r="S216" s="87"/>
      <c r="T216" s="87"/>
      <c r="U216" s="87"/>
      <c r="V216" s="87"/>
      <c r="W216" s="87"/>
      <c r="X216" s="88"/>
      <c r="Y216" s="87"/>
      <c r="Z216" s="87"/>
      <c r="AA216" s="87"/>
      <c r="AB216" s="87"/>
      <c r="AC216" s="87"/>
    </row>
    <row r="217" spans="1:34" ht="14.25" x14ac:dyDescent="0.2">
      <c r="A217" s="231"/>
      <c r="B217" s="86"/>
      <c r="C217" s="96">
        <f>P1_In_Rx1*'Plan Comparison Calculator'!$F$38</f>
        <v>0</v>
      </c>
      <c r="D217" s="96"/>
      <c r="E217" s="87"/>
      <c r="F217" s="87"/>
      <c r="G217" s="87"/>
      <c r="H217" s="87"/>
      <c r="I217" s="87"/>
      <c r="J217" s="87"/>
      <c r="K217" s="87"/>
      <c r="L217" s="87"/>
      <c r="M217" s="88"/>
      <c r="N217" s="96"/>
      <c r="O217" s="96"/>
      <c r="P217" s="87"/>
      <c r="Q217" s="87"/>
      <c r="R217" s="87"/>
      <c r="S217" s="87"/>
      <c r="T217" s="87"/>
      <c r="U217" s="87"/>
      <c r="V217" s="87"/>
      <c r="W217" s="87"/>
      <c r="X217" s="88"/>
      <c r="Y217" s="96"/>
      <c r="Z217" s="87"/>
      <c r="AA217" s="87"/>
      <c r="AB217" s="87"/>
      <c r="AC217" s="87"/>
    </row>
    <row r="218" spans="1:34" ht="14.25" x14ac:dyDescent="0.2">
      <c r="A218" s="231"/>
      <c r="B218" s="86"/>
      <c r="C218" s="96">
        <f>P1_In_Rx2*'Plan Comparison Calculator'!$F$39</f>
        <v>0</v>
      </c>
      <c r="D218" s="96"/>
      <c r="E218" s="87"/>
      <c r="F218" s="87"/>
      <c r="G218" s="87"/>
      <c r="H218" s="87"/>
      <c r="I218" s="87"/>
      <c r="J218" s="87"/>
      <c r="K218" s="87"/>
      <c r="L218" s="87"/>
      <c r="M218" s="88"/>
      <c r="N218" s="96"/>
      <c r="O218" s="96"/>
      <c r="P218" s="87"/>
      <c r="Q218" s="87"/>
      <c r="R218" s="87"/>
      <c r="S218" s="87"/>
      <c r="T218" s="87"/>
      <c r="U218" s="87"/>
      <c r="V218" s="87"/>
      <c r="W218" s="87"/>
      <c r="X218" s="88"/>
      <c r="Y218" s="96"/>
      <c r="Z218" s="87"/>
      <c r="AA218" s="87"/>
      <c r="AB218" s="87"/>
      <c r="AC218" s="87"/>
    </row>
    <row r="219" spans="1:34" ht="14.25" x14ac:dyDescent="0.2">
      <c r="A219" s="231"/>
      <c r="B219" s="86"/>
      <c r="C219" s="96">
        <f>P1_In_Rx3*'Plan Comparison Calculator'!$F$40</f>
        <v>0</v>
      </c>
      <c r="D219" s="96"/>
      <c r="E219" s="87"/>
      <c r="F219" s="87"/>
      <c r="G219" s="87"/>
      <c r="H219" s="87"/>
      <c r="I219" s="87"/>
      <c r="J219" s="87"/>
      <c r="K219" s="87"/>
      <c r="L219" s="87"/>
      <c r="M219" s="88"/>
      <c r="N219" s="96"/>
      <c r="O219" s="96"/>
      <c r="P219" s="87"/>
      <c r="Q219" s="87"/>
      <c r="R219" s="87"/>
      <c r="S219" s="87"/>
      <c r="T219" s="87"/>
      <c r="U219" s="87"/>
      <c r="V219" s="87"/>
      <c r="W219" s="87"/>
      <c r="X219" s="88"/>
      <c r="Y219" s="96"/>
      <c r="Z219" s="87"/>
      <c r="AA219" s="87"/>
      <c r="AB219" s="87"/>
      <c r="AC219" s="87"/>
    </row>
    <row r="220" spans="1:34" ht="14.25" x14ac:dyDescent="0.2">
      <c r="A220" s="231"/>
      <c r="B220" s="86"/>
      <c r="C220" s="87"/>
      <c r="D220" s="87"/>
      <c r="E220" s="87"/>
      <c r="F220" s="87"/>
      <c r="G220" s="87"/>
      <c r="H220" s="87"/>
      <c r="I220" s="87"/>
      <c r="J220" s="87"/>
      <c r="K220" s="87"/>
      <c r="L220" s="87"/>
      <c r="M220" s="88"/>
      <c r="N220" s="97"/>
      <c r="O220" s="97"/>
      <c r="P220" s="97"/>
      <c r="Q220" s="97"/>
      <c r="R220" s="97"/>
      <c r="S220" s="97"/>
      <c r="T220" s="97"/>
      <c r="U220" s="97"/>
      <c r="V220" s="97"/>
      <c r="W220" s="97"/>
      <c r="X220" s="88"/>
      <c r="Y220" s="97"/>
      <c r="Z220" s="97"/>
      <c r="AA220" s="97"/>
      <c r="AB220" s="97"/>
      <c r="AC220" s="97"/>
    </row>
    <row r="221" spans="1:34" ht="15.75" x14ac:dyDescent="0.25">
      <c r="A221" s="231"/>
      <c r="B221" s="83"/>
      <c r="C221" s="98">
        <f>SUM(C217:C219)</f>
        <v>0</v>
      </c>
      <c r="D221" s="99"/>
      <c r="E221" s="100" t="s">
        <v>134</v>
      </c>
      <c r="F221" s="100"/>
      <c r="G221" s="101"/>
      <c r="H221" s="101"/>
      <c r="I221" s="101"/>
      <c r="J221" s="101"/>
      <c r="K221" s="101"/>
      <c r="L221" s="101"/>
      <c r="M221" s="85"/>
      <c r="N221" s="102"/>
      <c r="O221" s="102"/>
      <c r="P221" s="102"/>
      <c r="Q221" s="102"/>
      <c r="R221" s="102"/>
      <c r="S221" s="102"/>
      <c r="T221" s="102"/>
      <c r="U221" s="102"/>
      <c r="V221" s="102"/>
      <c r="W221" s="102"/>
      <c r="X221" s="85"/>
      <c r="Y221" s="102"/>
      <c r="Z221" s="102"/>
      <c r="AA221" s="102"/>
      <c r="AB221" s="102"/>
      <c r="AC221" s="102"/>
    </row>
    <row r="222" spans="1:34" ht="14.25" x14ac:dyDescent="0.2">
      <c r="A222" s="231"/>
      <c r="B222" s="86"/>
      <c r="C222" s="87">
        <f>IF($C$226&lt;P1_In_Deduct,SUMPRODUCT('Plan Comparison Calculator'!$F$38:$F$40,'Base Costs'!$C$31:$C$33),SUMPRODUCT('Plan Comparison Calculator'!$F$38:$F$40,'Plan Defn'!$B$26:$B$28))</f>
        <v>0</v>
      </c>
      <c r="D222" s="87"/>
      <c r="E222" s="208" t="s">
        <v>135</v>
      </c>
      <c r="F222" s="87"/>
      <c r="G222" s="87"/>
      <c r="H222" s="87"/>
      <c r="I222" s="87"/>
      <c r="J222" s="87"/>
      <c r="K222" s="87"/>
      <c r="L222" s="87"/>
      <c r="M222" s="88"/>
      <c r="N222" s="97"/>
      <c r="O222" s="97"/>
      <c r="P222" s="97"/>
      <c r="Q222" s="97"/>
      <c r="R222" s="97"/>
      <c r="S222" s="97"/>
      <c r="T222" s="97"/>
      <c r="U222" s="97"/>
      <c r="V222" s="97"/>
      <c r="W222" s="97"/>
      <c r="X222" s="88"/>
      <c r="Y222" s="97"/>
      <c r="Z222" s="97"/>
      <c r="AA222" s="97"/>
      <c r="AB222" s="97"/>
      <c r="AC222" s="97"/>
    </row>
    <row r="223" spans="1:34" ht="14.25" x14ac:dyDescent="0.2">
      <c r="A223" s="231"/>
      <c r="B223" s="86"/>
      <c r="C223" s="207">
        <f>IF($V$238&lt;P1_In_Deduct*P1_In_FamMult,SUMPRODUCT('Plan Comparison Calculator'!$F$38:$F$40,'Base Costs'!$C$31:$C$33),SUMPRODUCT('Plan Comparison Calculator'!$F$38:$F$40,'Plan Defn'!$B$26:$B$28))</f>
        <v>0</v>
      </c>
      <c r="D223" s="87"/>
      <c r="E223" s="208" t="s">
        <v>136</v>
      </c>
      <c r="F223" s="87"/>
      <c r="G223" s="87"/>
      <c r="H223" s="87"/>
      <c r="I223" s="87"/>
      <c r="J223" s="87"/>
      <c r="K223" s="87"/>
      <c r="L223" s="87"/>
      <c r="M223" s="88"/>
      <c r="N223" s="97"/>
      <c r="O223" s="97"/>
      <c r="P223" s="97"/>
      <c r="Q223" s="97"/>
      <c r="R223" s="97"/>
      <c r="S223" s="97"/>
      <c r="T223" s="97"/>
      <c r="U223" s="97"/>
      <c r="V223" s="97"/>
      <c r="W223" s="97"/>
      <c r="X223" s="88"/>
      <c r="Y223" s="97"/>
      <c r="Z223" s="97"/>
      <c r="AA223" s="97"/>
      <c r="AB223" s="97"/>
      <c r="AC223" s="97"/>
    </row>
    <row r="224" spans="1:34" ht="15.75" x14ac:dyDescent="0.25">
      <c r="A224" s="122"/>
      <c r="B224" s="103"/>
      <c r="C224" s="79"/>
      <c r="D224" s="79"/>
      <c r="E224" s="79"/>
      <c r="F224" s="79"/>
      <c r="G224" s="79"/>
      <c r="H224" s="79"/>
      <c r="I224" s="79"/>
      <c r="J224" s="79"/>
      <c r="K224" s="79"/>
      <c r="L224" s="79"/>
      <c r="M224" s="104"/>
      <c r="N224" s="105"/>
      <c r="O224" s="105"/>
      <c r="P224" s="105"/>
      <c r="Q224" s="105"/>
      <c r="R224" s="105"/>
      <c r="S224" s="105"/>
      <c r="T224" s="105"/>
      <c r="U224" s="105"/>
      <c r="V224" s="105"/>
      <c r="W224" s="105"/>
      <c r="X224" s="104"/>
      <c r="Y224" s="105"/>
      <c r="Z224" s="105"/>
      <c r="AA224" s="105"/>
      <c r="AB224" s="105"/>
      <c r="AC224" s="105"/>
    </row>
    <row r="225" spans="1:29" ht="15" x14ac:dyDescent="0.25">
      <c r="A225" s="122"/>
      <c r="B225" s="106"/>
      <c r="C225" s="107">
        <f>SUM(C214:D214)</f>
        <v>0</v>
      </c>
      <c r="D225" s="108"/>
      <c r="E225" s="100" t="s">
        <v>57</v>
      </c>
      <c r="F225" s="100"/>
      <c r="G225" s="95"/>
      <c r="H225" s="95"/>
      <c r="I225" s="95"/>
      <c r="J225" s="95"/>
      <c r="K225" s="95"/>
      <c r="L225" s="95"/>
      <c r="M225" s="109"/>
      <c r="N225" s="107">
        <f>SUM(N214:O214)*T$2</f>
        <v>0</v>
      </c>
      <c r="O225" s="110"/>
      <c r="P225" s="100" t="s">
        <v>57</v>
      </c>
      <c r="Q225" s="100"/>
      <c r="R225" s="111"/>
      <c r="S225" s="111"/>
      <c r="T225" s="111"/>
      <c r="U225" s="111"/>
      <c r="V225" s="111"/>
      <c r="W225" s="111"/>
      <c r="X225" s="109"/>
      <c r="Y225" s="107">
        <f>SUM(Y214:Z214)*AE$2</f>
        <v>0</v>
      </c>
      <c r="Z225" s="108"/>
      <c r="AA225" s="100" t="s">
        <v>57</v>
      </c>
      <c r="AB225" s="111"/>
      <c r="AC225" s="111"/>
    </row>
    <row r="226" spans="1:29" ht="15" x14ac:dyDescent="0.25">
      <c r="A226" s="122"/>
      <c r="B226" s="106"/>
      <c r="C226" s="90">
        <f>E214+G214+I214+K214</f>
        <v>0</v>
      </c>
      <c r="D226" s="95"/>
      <c r="E226" s="112" t="s">
        <v>58</v>
      </c>
      <c r="F226" s="100"/>
      <c r="G226" s="95"/>
      <c r="H226" s="95"/>
      <c r="I226" s="95"/>
      <c r="J226" s="95"/>
      <c r="K226" s="95"/>
      <c r="L226" s="95"/>
      <c r="M226" s="109"/>
      <c r="N226" s="90">
        <f>(P214+R214+T214+V214)*T$2</f>
        <v>0</v>
      </c>
      <c r="O226" s="95"/>
      <c r="P226" s="112" t="s">
        <v>58</v>
      </c>
      <c r="Q226" s="100"/>
      <c r="R226" s="111"/>
      <c r="S226" s="111"/>
      <c r="T226" s="111"/>
      <c r="U226" s="111"/>
      <c r="V226" s="111"/>
      <c r="W226" s="111"/>
      <c r="X226" s="109"/>
      <c r="Y226" s="90">
        <f>(AA214+AC214+AE214+AG214)*AE$2</f>
        <v>0</v>
      </c>
      <c r="Z226" s="95"/>
      <c r="AA226" s="112" t="s">
        <v>58</v>
      </c>
      <c r="AB226" s="111"/>
      <c r="AC226" s="111"/>
    </row>
    <row r="227" spans="1:29" ht="15" x14ac:dyDescent="0.25">
      <c r="A227" s="122"/>
      <c r="B227" s="106"/>
      <c r="C227" s="91"/>
      <c r="E227" s="113"/>
      <c r="F227" s="100"/>
      <c r="G227" s="95"/>
      <c r="H227" s="95"/>
      <c r="I227" s="95"/>
      <c r="J227" s="95"/>
      <c r="K227" s="95"/>
      <c r="L227" s="95"/>
      <c r="M227" s="109"/>
      <c r="N227" s="91"/>
      <c r="P227" s="113"/>
      <c r="Q227" s="100"/>
      <c r="R227" s="111"/>
      <c r="S227" s="111"/>
      <c r="T227" s="111"/>
      <c r="U227" s="111"/>
      <c r="V227" s="111"/>
      <c r="W227" s="111"/>
      <c r="X227" s="109"/>
      <c r="Y227" s="91"/>
      <c r="AA227" s="113"/>
      <c r="AB227" s="111"/>
      <c r="AC227" s="111"/>
    </row>
    <row r="228" spans="1:29" ht="15" x14ac:dyDescent="0.25">
      <c r="A228" s="122"/>
      <c r="B228" s="106"/>
      <c r="C228" s="90">
        <f>E214+G214+I214+K214</f>
        <v>0</v>
      </c>
      <c r="D228" s="95"/>
      <c r="E228" s="112" t="s">
        <v>59</v>
      </c>
      <c r="F228" s="100"/>
      <c r="G228" s="95"/>
      <c r="H228" s="95"/>
      <c r="I228" s="95"/>
      <c r="J228" s="95"/>
      <c r="K228" s="95"/>
      <c r="L228" s="95"/>
      <c r="M228" s="109"/>
      <c r="N228" s="90">
        <f>(P214+R214+T214+V214)*T$2</f>
        <v>0</v>
      </c>
      <c r="O228" s="95"/>
      <c r="P228" s="112" t="s">
        <v>59</v>
      </c>
      <c r="Q228" s="100"/>
      <c r="R228" s="111"/>
      <c r="S228" s="111"/>
      <c r="T228" s="111"/>
      <c r="U228" s="111"/>
      <c r="V228" s="111"/>
      <c r="W228" s="111"/>
      <c r="X228" s="109"/>
      <c r="Y228" s="90">
        <f>(AA214+AC214+AE214+AG214)*AE$2</f>
        <v>0</v>
      </c>
      <c r="Z228" s="95"/>
      <c r="AA228" s="112" t="s">
        <v>59</v>
      </c>
      <c r="AB228" s="111"/>
      <c r="AC228" s="111"/>
    </row>
    <row r="229" spans="1:29" ht="15" x14ac:dyDescent="0.25">
      <c r="A229" s="122"/>
      <c r="B229" s="106"/>
      <c r="C229" s="91"/>
      <c r="D229" s="95"/>
      <c r="E229" s="113"/>
      <c r="F229" s="111"/>
      <c r="G229" s="95"/>
      <c r="H229" s="95"/>
      <c r="I229" s="95"/>
      <c r="J229" s="95"/>
      <c r="K229" s="95"/>
      <c r="L229" s="95"/>
      <c r="M229" s="109"/>
      <c r="N229" s="91"/>
      <c r="O229" s="95"/>
      <c r="P229" s="113"/>
      <c r="Q229" s="111"/>
      <c r="R229" s="111"/>
      <c r="S229" s="111"/>
      <c r="T229" s="111"/>
      <c r="U229" s="111"/>
      <c r="V229" s="111"/>
      <c r="W229" s="111"/>
      <c r="X229" s="109"/>
      <c r="Y229" s="91"/>
      <c r="Z229" s="95"/>
      <c r="AA229" s="113"/>
      <c r="AB229" s="111"/>
      <c r="AC229" s="111"/>
    </row>
    <row r="230" spans="1:29" ht="15" x14ac:dyDescent="0.25">
      <c r="A230" s="122"/>
      <c r="B230" s="106"/>
      <c r="F230" s="100"/>
      <c r="G230" s="95"/>
      <c r="H230" s="95"/>
      <c r="I230" s="95"/>
      <c r="J230" s="95"/>
      <c r="K230" s="95"/>
      <c r="L230" s="95"/>
      <c r="M230" s="109"/>
      <c r="Q230" s="100"/>
      <c r="R230" s="111"/>
      <c r="S230" s="111"/>
      <c r="T230" s="111"/>
      <c r="U230" s="111"/>
      <c r="V230" s="111"/>
      <c r="W230" s="111"/>
      <c r="X230" s="109"/>
      <c r="AB230" s="111"/>
      <c r="AC230" s="111"/>
    </row>
    <row r="231" spans="1:29" ht="15" x14ac:dyDescent="0.25">
      <c r="A231" s="122"/>
      <c r="B231" s="106"/>
      <c r="C231" s="92">
        <f>MIN(C226,P3_In_Deduct)</f>
        <v>0</v>
      </c>
      <c r="D231" s="108"/>
      <c r="E231" s="114" t="s">
        <v>60</v>
      </c>
      <c r="G231" s="87"/>
      <c r="H231" s="87"/>
      <c r="I231" s="87"/>
      <c r="J231" s="87"/>
      <c r="K231" s="87"/>
      <c r="L231" s="87"/>
      <c r="M231" s="97"/>
      <c r="N231" s="92">
        <f>MIN(N226,P1_In_Deduct)</f>
        <v>0</v>
      </c>
      <c r="O231" s="108"/>
      <c r="P231" s="114" t="s">
        <v>60</v>
      </c>
      <c r="Q231" s="97"/>
      <c r="R231" s="97"/>
      <c r="S231" s="97"/>
      <c r="T231" s="97"/>
      <c r="U231" s="97"/>
      <c r="V231" s="97"/>
      <c r="W231" s="97"/>
      <c r="X231" s="97"/>
      <c r="Y231" s="92">
        <f>MIN(Y226,P1_In_Deduct)</f>
        <v>0</v>
      </c>
      <c r="Z231" s="108"/>
      <c r="AA231" s="114" t="s">
        <v>60</v>
      </c>
      <c r="AB231" s="97"/>
      <c r="AC231" s="97"/>
    </row>
    <row r="232" spans="1:29" ht="15" x14ac:dyDescent="0.25">
      <c r="A232" s="122"/>
      <c r="B232" s="106"/>
      <c r="C232" s="93"/>
      <c r="E232" s="115"/>
      <c r="G232" s="87"/>
      <c r="H232" s="87"/>
      <c r="I232" s="87"/>
      <c r="J232" s="87"/>
      <c r="K232" s="87"/>
      <c r="L232" s="87"/>
      <c r="M232" s="97"/>
      <c r="N232" s="93"/>
      <c r="P232" s="115"/>
      <c r="Q232" s="97"/>
      <c r="R232" s="97"/>
      <c r="S232" s="97"/>
      <c r="W232" s="108"/>
      <c r="X232" s="97"/>
      <c r="Y232" s="93"/>
      <c r="AA232" s="115"/>
      <c r="AB232" s="97"/>
      <c r="AC232" s="97"/>
    </row>
    <row r="233" spans="1:29" ht="15" x14ac:dyDescent="0.25">
      <c r="A233" s="122"/>
      <c r="B233" s="106"/>
      <c r="C233" s="93"/>
      <c r="E233" s="115"/>
      <c r="G233" s="87"/>
      <c r="H233" s="87"/>
      <c r="I233" s="87"/>
      <c r="J233" s="87"/>
      <c r="K233" s="87"/>
      <c r="L233" s="87"/>
      <c r="M233" s="97"/>
      <c r="N233" s="93"/>
      <c r="P233" s="115"/>
      <c r="Q233" s="97"/>
      <c r="R233" s="97"/>
      <c r="S233" s="97"/>
      <c r="W233" s="108"/>
      <c r="X233" s="97"/>
      <c r="Y233" s="93"/>
      <c r="AA233" s="115"/>
      <c r="AB233" s="97"/>
      <c r="AC233" s="97"/>
    </row>
    <row r="234" spans="1:29" ht="15" x14ac:dyDescent="0.25">
      <c r="A234" s="122"/>
      <c r="B234" s="106"/>
      <c r="C234" s="92">
        <f>MIN((C228-C231)*(1-P1_In_Coins),P1_In_OOPMax)</f>
        <v>0</v>
      </c>
      <c r="D234" s="108"/>
      <c r="E234" s="112" t="s">
        <v>61</v>
      </c>
      <c r="F234" s="87"/>
      <c r="G234" s="87"/>
      <c r="H234" s="87"/>
      <c r="I234" s="87"/>
      <c r="J234" s="87"/>
      <c r="K234" s="87"/>
      <c r="L234" s="87"/>
      <c r="M234" s="97"/>
      <c r="N234" s="92">
        <f>(N228-N231)*(1-P1_In_Coins)</f>
        <v>0</v>
      </c>
      <c r="O234" s="108"/>
      <c r="P234" s="112" t="s">
        <v>61</v>
      </c>
      <c r="Q234" s="97"/>
      <c r="R234" s="97"/>
      <c r="S234" s="97"/>
      <c r="W234" s="108"/>
      <c r="X234" s="97"/>
      <c r="Y234" s="92">
        <f>IF(Y228&gt;=Y231,MIN((Y228-Y231)*(1-P1_In_Coins),P1_In_OOPMax),0)</f>
        <v>0</v>
      </c>
      <c r="Z234" s="108"/>
      <c r="AA234" s="112" t="s">
        <v>61</v>
      </c>
      <c r="AB234" s="97"/>
      <c r="AC234" s="97"/>
    </row>
    <row r="235" spans="1:29" ht="15.75" x14ac:dyDescent="0.25">
      <c r="A235" s="122"/>
      <c r="B235" s="106"/>
      <c r="C235" s="93"/>
      <c r="D235" s="79"/>
      <c r="E235" s="113"/>
      <c r="F235" s="79"/>
      <c r="G235" s="79"/>
      <c r="H235" s="79"/>
      <c r="I235" s="79"/>
      <c r="J235" s="79"/>
      <c r="K235" s="79"/>
      <c r="L235" s="79"/>
      <c r="M235" s="105"/>
      <c r="N235" s="93"/>
      <c r="O235" s="79"/>
      <c r="P235" s="113"/>
      <c r="Q235" s="105"/>
      <c r="R235" s="105"/>
      <c r="S235" s="105"/>
      <c r="T235" s="116"/>
      <c r="U235" s="116"/>
      <c r="V235" s="105"/>
      <c r="W235" s="105"/>
      <c r="X235" s="105"/>
      <c r="Y235" s="93"/>
      <c r="Z235" s="79"/>
      <c r="AA235" s="113"/>
      <c r="AB235" s="105"/>
      <c r="AC235" s="105"/>
    </row>
    <row r="236" spans="1:29" ht="15" x14ac:dyDescent="0.25">
      <c r="A236" s="122"/>
      <c r="B236" s="106"/>
      <c r="C236" s="87"/>
      <c r="D236" s="87"/>
      <c r="E236" s="87"/>
      <c r="F236" s="87"/>
      <c r="G236" s="87"/>
      <c r="H236" s="87"/>
      <c r="I236" s="87"/>
      <c r="J236" s="87"/>
      <c r="K236" s="87"/>
      <c r="L236" s="87"/>
      <c r="M236" s="97"/>
      <c r="N236" s="97"/>
      <c r="O236" s="97"/>
      <c r="P236" s="97"/>
      <c r="Q236" s="97"/>
      <c r="R236" s="97"/>
      <c r="S236" s="97"/>
      <c r="T236" s="117"/>
      <c r="U236" s="117"/>
      <c r="V236" s="97"/>
      <c r="W236" s="97"/>
      <c r="X236" s="97"/>
      <c r="Y236" s="97"/>
      <c r="Z236" s="97"/>
      <c r="AA236" s="97"/>
      <c r="AB236" s="97"/>
      <c r="AC236" s="97"/>
    </row>
    <row r="237" spans="1:29" ht="15" x14ac:dyDescent="0.25">
      <c r="A237" s="122"/>
      <c r="B237" s="106"/>
      <c r="C237" s="195"/>
      <c r="D237" s="188" t="s">
        <v>114</v>
      </c>
      <c r="E237" s="196" t="s">
        <v>115</v>
      </c>
      <c r="F237" s="189" t="s">
        <v>116</v>
      </c>
      <c r="G237" s="197"/>
      <c r="H237" s="195"/>
      <c r="I237" s="195"/>
      <c r="J237" s="195"/>
      <c r="K237" s="195"/>
      <c r="L237" s="195"/>
      <c r="M237" s="97"/>
      <c r="N237" s="97"/>
      <c r="O237" s="97"/>
      <c r="P237" s="97"/>
      <c r="Q237" s="97"/>
      <c r="R237" s="97"/>
      <c r="S237" s="97"/>
      <c r="T237" s="97"/>
      <c r="U237" s="97"/>
      <c r="V237" s="97"/>
      <c r="W237" s="97"/>
      <c r="X237" s="97"/>
      <c r="Y237" s="97"/>
      <c r="Z237" s="97"/>
      <c r="AA237" s="97"/>
      <c r="AB237" s="97"/>
      <c r="AC237" s="97"/>
    </row>
    <row r="238" spans="1:29" ht="15.75" x14ac:dyDescent="0.25">
      <c r="A238" s="122"/>
      <c r="B238" s="106"/>
      <c r="C238" s="187" t="s">
        <v>3</v>
      </c>
      <c r="D238" s="198">
        <f t="shared" ref="D238:D243" si="4">IF(F238&lt;E238,F238,E238)</f>
        <v>0</v>
      </c>
      <c r="E238" s="201">
        <f>'Plan Defn'!$B9</f>
        <v>3500</v>
      </c>
      <c r="F238" s="202">
        <f>SUM(L$238:L$241)</f>
        <v>0</v>
      </c>
      <c r="G238" s="189" t="s">
        <v>117</v>
      </c>
      <c r="H238" s="78"/>
      <c r="I238" s="78"/>
      <c r="J238" s="78"/>
      <c r="K238" s="188" t="s">
        <v>118</v>
      </c>
      <c r="L238" s="199">
        <f>V238</f>
        <v>0</v>
      </c>
      <c r="M238" s="105"/>
      <c r="N238" s="105"/>
      <c r="O238" s="105"/>
      <c r="P238" s="105"/>
      <c r="Q238" s="105"/>
      <c r="R238" s="105"/>
      <c r="S238" s="105"/>
      <c r="T238" s="118" t="s">
        <v>62</v>
      </c>
      <c r="U238" s="118"/>
      <c r="V238" s="119">
        <f>IF('Plan Comparison Calculator'!F4="Employee Only",MIN((C231+N231+Y231),('Plan Defn'!B9)),MIN((C231+N231+Y231),('Plan Defn'!B10)))</f>
        <v>0</v>
      </c>
      <c r="W238" s="105"/>
      <c r="X238" s="105"/>
      <c r="Y238" s="105"/>
      <c r="Z238" s="105"/>
      <c r="AA238" s="105"/>
      <c r="AB238" s="105"/>
      <c r="AC238" s="105"/>
    </row>
    <row r="239" spans="1:29" ht="15" x14ac:dyDescent="0.25">
      <c r="A239" s="122"/>
      <c r="B239" s="106"/>
      <c r="C239" s="187" t="s">
        <v>100</v>
      </c>
      <c r="D239" s="198">
        <f t="shared" si="4"/>
        <v>0</v>
      </c>
      <c r="E239" s="200">
        <f>'Plan Defn'!B$10</f>
        <v>7000</v>
      </c>
      <c r="F239" s="202">
        <f t="shared" ref="F239:F243" si="5">SUM(L$238:L$241)</f>
        <v>0</v>
      </c>
      <c r="G239" s="189" t="s">
        <v>117</v>
      </c>
      <c r="H239" s="195"/>
      <c r="I239" s="195"/>
      <c r="J239" s="195"/>
      <c r="K239" s="188" t="s">
        <v>119</v>
      </c>
      <c r="L239" s="199">
        <f>V241</f>
        <v>0</v>
      </c>
      <c r="M239" s="97"/>
      <c r="N239" s="97"/>
      <c r="O239" s="97"/>
      <c r="P239" s="97"/>
      <c r="Q239" s="97"/>
      <c r="R239" s="97"/>
      <c r="S239" s="97"/>
      <c r="T239" s="118" t="s">
        <v>68</v>
      </c>
      <c r="V239" s="120"/>
      <c r="W239" s="97"/>
      <c r="X239" s="97"/>
      <c r="Y239" s="97"/>
      <c r="Z239" s="97"/>
      <c r="AA239" s="97"/>
      <c r="AB239" s="97"/>
      <c r="AC239" s="97"/>
    </row>
    <row r="240" spans="1:29" ht="15" x14ac:dyDescent="0.25">
      <c r="A240" s="122"/>
      <c r="B240" s="106"/>
      <c r="C240" s="187" t="s">
        <v>101</v>
      </c>
      <c r="D240" s="198">
        <f t="shared" si="4"/>
        <v>0</v>
      </c>
      <c r="E240" s="200">
        <f>'Plan Defn'!B$10</f>
        <v>7000</v>
      </c>
      <c r="F240" s="202">
        <f t="shared" si="5"/>
        <v>0</v>
      </c>
      <c r="G240" s="189" t="s">
        <v>117</v>
      </c>
      <c r="H240" s="195"/>
      <c r="I240" s="195"/>
      <c r="J240" s="195"/>
      <c r="K240" s="188" t="s">
        <v>120</v>
      </c>
      <c r="L240" s="199">
        <f>SUM(C214,N214,Y214)</f>
        <v>0</v>
      </c>
      <c r="M240" s="97"/>
      <c r="N240" s="97"/>
      <c r="O240" s="97"/>
      <c r="P240" s="97"/>
      <c r="Q240" s="97"/>
      <c r="R240" s="97"/>
      <c r="S240" s="97"/>
      <c r="T240" s="97"/>
      <c r="U240" s="97"/>
      <c r="V240" s="97"/>
      <c r="W240" s="97"/>
      <c r="X240" s="97"/>
      <c r="Y240" s="97"/>
      <c r="Z240" s="97"/>
      <c r="AA240" s="97"/>
      <c r="AB240" s="97"/>
      <c r="AC240" s="97"/>
    </row>
    <row r="241" spans="1:29" ht="15.75" x14ac:dyDescent="0.25">
      <c r="A241" s="122"/>
      <c r="B241" s="106"/>
      <c r="C241" s="187" t="s">
        <v>102</v>
      </c>
      <c r="D241" s="198">
        <f t="shared" si="4"/>
        <v>0</v>
      </c>
      <c r="E241" s="200">
        <f>'Plan Defn'!B$10</f>
        <v>7000</v>
      </c>
      <c r="F241" s="202">
        <f t="shared" si="5"/>
        <v>0</v>
      </c>
      <c r="G241" s="189" t="s">
        <v>117</v>
      </c>
      <c r="H241" s="78"/>
      <c r="I241" s="78"/>
      <c r="J241" s="78"/>
      <c r="K241" s="188" t="s">
        <v>121</v>
      </c>
      <c r="L241" s="199">
        <f>IF('Plan Comparison Calculator'!F4="Employee Only",'OOP Calc'!C222,'OOP Calc'!C223)</f>
        <v>0</v>
      </c>
      <c r="M241" s="105"/>
      <c r="N241" s="105"/>
      <c r="O241" s="105"/>
      <c r="P241" s="105"/>
      <c r="Q241" s="105"/>
      <c r="R241" s="105"/>
      <c r="S241" s="105"/>
      <c r="T241" s="118" t="s">
        <v>63</v>
      </c>
      <c r="U241" s="118"/>
      <c r="V241" s="209">
        <f>IF('Plan Comparison Calculator'!F4="Employee Only",MIN((C234+N234+Y234),('Plan Defn'!B9)),MIN((C234+N234+Y234),('Plan Defn'!B10)))</f>
        <v>0</v>
      </c>
      <c r="W241" s="105"/>
      <c r="X241" s="105"/>
      <c r="Y241" s="105"/>
      <c r="Z241" s="105"/>
      <c r="AA241" s="105"/>
      <c r="AB241" s="105"/>
      <c r="AC241" s="105"/>
    </row>
    <row r="242" spans="1:29" ht="15" x14ac:dyDescent="0.25">
      <c r="A242" s="122"/>
      <c r="B242" s="106"/>
      <c r="C242" s="187" t="s">
        <v>103</v>
      </c>
      <c r="D242" s="198">
        <f t="shared" si="4"/>
        <v>0</v>
      </c>
      <c r="E242" s="200">
        <f>'Plan Defn'!B$10</f>
        <v>7000</v>
      </c>
      <c r="F242" s="202">
        <f t="shared" si="5"/>
        <v>0</v>
      </c>
      <c r="G242" s="189" t="s">
        <v>117</v>
      </c>
      <c r="H242" s="195"/>
      <c r="I242" s="195"/>
      <c r="J242" s="195"/>
      <c r="K242" s="195"/>
      <c r="L242" s="195"/>
      <c r="M242" s="97"/>
      <c r="N242" s="97"/>
      <c r="O242" s="97"/>
      <c r="P242" s="97"/>
      <c r="Q242" s="97"/>
      <c r="R242" s="97"/>
      <c r="S242" s="97"/>
      <c r="T242" s="118" t="s">
        <v>69</v>
      </c>
      <c r="U242" s="97"/>
      <c r="V242" s="107"/>
      <c r="W242" s="97"/>
      <c r="X242" s="97"/>
      <c r="Y242" s="97"/>
      <c r="Z242" s="97"/>
      <c r="AA242" s="97"/>
      <c r="AB242" s="97"/>
      <c r="AC242" s="97"/>
    </row>
    <row r="243" spans="1:29" x14ac:dyDescent="0.2">
      <c r="C243" s="187" t="s">
        <v>104</v>
      </c>
      <c r="D243" s="198">
        <f t="shared" si="4"/>
        <v>0</v>
      </c>
      <c r="E243" s="200">
        <f>'Plan Defn'!B$10</f>
        <v>7000</v>
      </c>
      <c r="F243" s="202">
        <f t="shared" si="5"/>
        <v>0</v>
      </c>
      <c r="G243" s="189" t="s">
        <v>117</v>
      </c>
      <c r="H243" s="195"/>
      <c r="I243" s="195"/>
      <c r="J243" s="195"/>
      <c r="K243" s="195"/>
      <c r="L243" s="195"/>
    </row>
  </sheetData>
  <mergeCells count="142">
    <mergeCell ref="AG186:AH186"/>
    <mergeCell ref="A198:A223"/>
    <mergeCell ref="T186:U186"/>
    <mergeCell ref="V186:W186"/>
    <mergeCell ref="Y186:Z186"/>
    <mergeCell ref="AA186:AB186"/>
    <mergeCell ref="AC186:AD186"/>
    <mergeCell ref="AE186:AF186"/>
    <mergeCell ref="AE185:AF185"/>
    <mergeCell ref="AG185:AH185"/>
    <mergeCell ref="C186:D186"/>
    <mergeCell ref="E186:F186"/>
    <mergeCell ref="G186:H186"/>
    <mergeCell ref="I186:J186"/>
    <mergeCell ref="K186:L186"/>
    <mergeCell ref="N186:O186"/>
    <mergeCell ref="P186:Q186"/>
    <mergeCell ref="R186:S186"/>
    <mergeCell ref="R185:S185"/>
    <mergeCell ref="T185:U185"/>
    <mergeCell ref="V185:W185"/>
    <mergeCell ref="Y185:Z185"/>
    <mergeCell ref="AA185:AB185"/>
    <mergeCell ref="AC185:AD185"/>
    <mergeCell ref="C184:K184"/>
    <mergeCell ref="N184:V184"/>
    <mergeCell ref="Y184:AH184"/>
    <mergeCell ref="C185:D185"/>
    <mergeCell ref="E185:F185"/>
    <mergeCell ref="G185:H185"/>
    <mergeCell ref="I185:J185"/>
    <mergeCell ref="K185:L185"/>
    <mergeCell ref="N185:O185"/>
    <mergeCell ref="P185:Q185"/>
    <mergeCell ref="R66:S66"/>
    <mergeCell ref="N66:O66"/>
    <mergeCell ref="P66:Q66"/>
    <mergeCell ref="K66:L66"/>
    <mergeCell ref="C65:D65"/>
    <mergeCell ref="E65:F65"/>
    <mergeCell ref="G65:H65"/>
    <mergeCell ref="I65:J65"/>
    <mergeCell ref="N65:O65"/>
    <mergeCell ref="P65:Q65"/>
    <mergeCell ref="K65:L65"/>
    <mergeCell ref="B1:B2"/>
    <mergeCell ref="E66:F66"/>
    <mergeCell ref="G66:H66"/>
    <mergeCell ref="I66:J66"/>
    <mergeCell ref="C66:D66"/>
    <mergeCell ref="C6:D6"/>
    <mergeCell ref="G6:H6"/>
    <mergeCell ref="AC5:AD5"/>
    <mergeCell ref="AE5:AF5"/>
    <mergeCell ref="V5:W5"/>
    <mergeCell ref="Y5:Z5"/>
    <mergeCell ref="I6:J6"/>
    <mergeCell ref="Y65:Z65"/>
    <mergeCell ref="AA65:AB65"/>
    <mergeCell ref="AC65:AD65"/>
    <mergeCell ref="AE65:AF65"/>
    <mergeCell ref="K5:L5"/>
    <mergeCell ref="N5:O5"/>
    <mergeCell ref="N64:V64"/>
    <mergeCell ref="C64:K64"/>
    <mergeCell ref="AA5:AB5"/>
    <mergeCell ref="E6:F6"/>
    <mergeCell ref="AE2:AE3"/>
    <mergeCell ref="C1:K2"/>
    <mergeCell ref="AA2:AD3"/>
    <mergeCell ref="P5:Q5"/>
    <mergeCell ref="R5:S5"/>
    <mergeCell ref="T5:U5"/>
    <mergeCell ref="G5:H5"/>
    <mergeCell ref="I5:J5"/>
    <mergeCell ref="Y4:AH4"/>
    <mergeCell ref="C5:D5"/>
    <mergeCell ref="E5:F5"/>
    <mergeCell ref="P2:S3"/>
    <mergeCell ref="T2:T3"/>
    <mergeCell ref="C4:K4"/>
    <mergeCell ref="N4:V4"/>
    <mergeCell ref="AG5:AH5"/>
    <mergeCell ref="V66:W66"/>
    <mergeCell ref="T66:U66"/>
    <mergeCell ref="AG66:AH66"/>
    <mergeCell ref="Y66:Z66"/>
    <mergeCell ref="AA66:AB66"/>
    <mergeCell ref="AC66:AD66"/>
    <mergeCell ref="AE66:AF66"/>
    <mergeCell ref="AG65:AH65"/>
    <mergeCell ref="Y64:AH64"/>
    <mergeCell ref="V65:W65"/>
    <mergeCell ref="T65:U65"/>
    <mergeCell ref="V6:W6"/>
    <mergeCell ref="K125:L125"/>
    <mergeCell ref="N125:O125"/>
    <mergeCell ref="Y124:AH124"/>
    <mergeCell ref="A78:A103"/>
    <mergeCell ref="AC6:AD6"/>
    <mergeCell ref="AE6:AF6"/>
    <mergeCell ref="AG6:AH6"/>
    <mergeCell ref="A10:A36"/>
    <mergeCell ref="T6:U6"/>
    <mergeCell ref="T125:U125"/>
    <mergeCell ref="V125:W125"/>
    <mergeCell ref="C124:K124"/>
    <mergeCell ref="N124:V124"/>
    <mergeCell ref="C125:D125"/>
    <mergeCell ref="E125:F125"/>
    <mergeCell ref="G125:H125"/>
    <mergeCell ref="Y6:Z6"/>
    <mergeCell ref="AA6:AB6"/>
    <mergeCell ref="K6:L6"/>
    <mergeCell ref="N6:O6"/>
    <mergeCell ref="P6:Q6"/>
    <mergeCell ref="R6:S6"/>
    <mergeCell ref="R65:S65"/>
    <mergeCell ref="A138:A163"/>
    <mergeCell ref="AE126:AF126"/>
    <mergeCell ref="Y125:Z125"/>
    <mergeCell ref="AA125:AB125"/>
    <mergeCell ref="AC125:AD125"/>
    <mergeCell ref="AE125:AF125"/>
    <mergeCell ref="P125:Q125"/>
    <mergeCell ref="R125:S125"/>
    <mergeCell ref="AG126:AH126"/>
    <mergeCell ref="V126:W126"/>
    <mergeCell ref="Y126:Z126"/>
    <mergeCell ref="AA126:AB126"/>
    <mergeCell ref="AC126:AD126"/>
    <mergeCell ref="AG125:AH125"/>
    <mergeCell ref="C126:D126"/>
    <mergeCell ref="E126:F126"/>
    <mergeCell ref="G126:H126"/>
    <mergeCell ref="I126:J126"/>
    <mergeCell ref="K126:L126"/>
    <mergeCell ref="N126:O126"/>
    <mergeCell ref="P126:Q126"/>
    <mergeCell ref="R126:S126"/>
    <mergeCell ref="T126:U126"/>
    <mergeCell ref="I125:J125"/>
  </mergeCells>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57"/>
  <sheetViews>
    <sheetView workbookViewId="0">
      <selection activeCell="C41" sqref="C41"/>
    </sheetView>
  </sheetViews>
  <sheetFormatPr defaultRowHeight="12.75" x14ac:dyDescent="0.2"/>
  <cols>
    <col min="1" max="1" width="34.42578125" style="123" bestFit="1" customWidth="1"/>
    <col min="2" max="3" width="23.7109375" style="81" customWidth="1"/>
    <col min="4" max="4" width="4" style="81" customWidth="1"/>
    <col min="5" max="5" width="23.7109375" style="81" customWidth="1"/>
    <col min="6" max="6" width="23.7109375" customWidth="1"/>
    <col min="7" max="7" width="4.85546875" customWidth="1"/>
    <col min="8" max="9" width="23.7109375" customWidth="1"/>
  </cols>
  <sheetData>
    <row r="1" spans="1:9" ht="27" thickBot="1" x14ac:dyDescent="0.45">
      <c r="B1" s="245" t="s">
        <v>70</v>
      </c>
      <c r="C1" s="245"/>
      <c r="D1" s="245"/>
      <c r="E1" s="245"/>
      <c r="F1" s="245"/>
    </row>
    <row r="2" spans="1:9" ht="12.75" customHeight="1" x14ac:dyDescent="0.25">
      <c r="A2" s="123" t="s">
        <v>71</v>
      </c>
      <c r="B2" s="239" t="s">
        <v>72</v>
      </c>
      <c r="C2" s="240"/>
      <c r="D2" s="243"/>
      <c r="E2" s="239" t="s">
        <v>72</v>
      </c>
      <c r="F2" s="240"/>
      <c r="G2" s="124"/>
      <c r="H2" s="239" t="s">
        <v>72</v>
      </c>
      <c r="I2" s="240"/>
    </row>
    <row r="3" spans="1:9" ht="12.75" customHeight="1" x14ac:dyDescent="0.25">
      <c r="A3" s="123" t="s">
        <v>73</v>
      </c>
      <c r="B3" s="241" t="s">
        <v>105</v>
      </c>
      <c r="C3" s="242"/>
      <c r="D3" s="243"/>
      <c r="E3" s="246" t="s">
        <v>124</v>
      </c>
      <c r="F3" s="242"/>
      <c r="G3" s="124"/>
      <c r="H3" s="241" t="s">
        <v>74</v>
      </c>
      <c r="I3" s="242"/>
    </row>
    <row r="4" spans="1:9" ht="8.25" customHeight="1" x14ac:dyDescent="0.2">
      <c r="B4" s="125"/>
      <c r="C4" s="126"/>
      <c r="D4" s="127"/>
      <c r="E4" s="125"/>
      <c r="F4" s="128"/>
      <c r="H4" s="125"/>
      <c r="I4" s="128"/>
    </row>
    <row r="5" spans="1:9" ht="15" customHeight="1" x14ac:dyDescent="0.25">
      <c r="B5" s="129" t="s">
        <v>75</v>
      </c>
      <c r="C5" s="130" t="s">
        <v>76</v>
      </c>
      <c r="D5" s="124"/>
      <c r="E5" s="129" t="s">
        <v>75</v>
      </c>
      <c r="F5" s="130" t="s">
        <v>76</v>
      </c>
      <c r="G5" s="124"/>
      <c r="H5" s="129" t="s">
        <v>75</v>
      </c>
      <c r="I5" s="130" t="s">
        <v>76</v>
      </c>
    </row>
    <row r="6" spans="1:9" x14ac:dyDescent="0.2">
      <c r="A6" s="123" t="s">
        <v>77</v>
      </c>
      <c r="B6" s="131">
        <v>1500</v>
      </c>
      <c r="C6" s="132"/>
      <c r="D6" s="133"/>
      <c r="E6" s="131">
        <v>750</v>
      </c>
      <c r="F6" s="134">
        <v>750</v>
      </c>
      <c r="G6" s="135"/>
      <c r="H6" s="131">
        <v>1000</v>
      </c>
      <c r="I6" s="134"/>
    </row>
    <row r="7" spans="1:9" x14ac:dyDescent="0.2">
      <c r="A7" s="123" t="s">
        <v>78</v>
      </c>
      <c r="B7" s="125">
        <v>2</v>
      </c>
      <c r="C7" s="126"/>
      <c r="D7" s="136"/>
      <c r="E7" s="125">
        <v>2</v>
      </c>
      <c r="F7" s="137">
        <v>2</v>
      </c>
      <c r="G7" s="138"/>
      <c r="H7" s="125">
        <v>2</v>
      </c>
      <c r="I7" s="137"/>
    </row>
    <row r="8" spans="1:9" x14ac:dyDescent="0.2">
      <c r="A8" s="123" t="s">
        <v>79</v>
      </c>
      <c r="B8" s="131">
        <v>3500</v>
      </c>
      <c r="C8" s="132"/>
      <c r="D8" s="133"/>
      <c r="E8" s="131">
        <v>3000</v>
      </c>
      <c r="F8" s="134">
        <v>3000</v>
      </c>
      <c r="G8" s="135"/>
      <c r="H8" s="131">
        <v>2000</v>
      </c>
      <c r="I8" s="134"/>
    </row>
    <row r="9" spans="1:9" x14ac:dyDescent="0.2">
      <c r="A9" s="190" t="s">
        <v>122</v>
      </c>
      <c r="B9" s="191">
        <v>3500</v>
      </c>
      <c r="C9" s="192"/>
      <c r="D9" s="191"/>
      <c r="E9" s="191">
        <v>3000</v>
      </c>
      <c r="F9" s="191">
        <v>3000</v>
      </c>
      <c r="G9" s="193"/>
      <c r="H9" s="191">
        <v>3000</v>
      </c>
      <c r="I9" s="194"/>
    </row>
    <row r="10" spans="1:9" x14ac:dyDescent="0.2">
      <c r="A10" s="190" t="s">
        <v>123</v>
      </c>
      <c r="B10" s="191">
        <v>7000</v>
      </c>
      <c r="C10" s="192"/>
      <c r="D10" s="191"/>
      <c r="E10" s="191">
        <v>6000</v>
      </c>
      <c r="F10" s="191">
        <v>6000</v>
      </c>
      <c r="G10" s="193"/>
      <c r="H10" s="191">
        <v>6000</v>
      </c>
      <c r="I10" s="194"/>
    </row>
    <row r="11" spans="1:9" x14ac:dyDescent="0.2">
      <c r="A11" s="123" t="s">
        <v>80</v>
      </c>
      <c r="B11" s="131">
        <v>0</v>
      </c>
      <c r="C11" s="132"/>
      <c r="D11" s="133"/>
      <c r="E11" s="131">
        <v>0</v>
      </c>
      <c r="F11" s="134">
        <v>0</v>
      </c>
      <c r="G11" s="135"/>
      <c r="H11" s="131">
        <v>30</v>
      </c>
      <c r="I11" s="134"/>
    </row>
    <row r="12" spans="1:9" x14ac:dyDescent="0.2">
      <c r="A12" s="123" t="s">
        <v>81</v>
      </c>
      <c r="B12" s="139"/>
      <c r="C12" s="140"/>
      <c r="D12" s="141"/>
      <c r="E12" s="139"/>
      <c r="F12" s="142"/>
      <c r="G12" s="143"/>
      <c r="H12" s="139"/>
      <c r="I12" s="142"/>
    </row>
    <row r="13" spans="1:9" x14ac:dyDescent="0.2">
      <c r="A13" s="123" t="s">
        <v>82</v>
      </c>
      <c r="B13" s="139"/>
      <c r="C13" s="140"/>
      <c r="D13" s="141"/>
      <c r="E13" s="139"/>
      <c r="F13" s="142"/>
      <c r="G13" s="143"/>
      <c r="H13" s="139"/>
      <c r="I13" s="142"/>
    </row>
    <row r="14" spans="1:9" x14ac:dyDescent="0.2">
      <c r="A14" s="123" t="s">
        <v>83</v>
      </c>
      <c r="B14" s="144">
        <v>0.8</v>
      </c>
      <c r="C14" s="145"/>
      <c r="D14" s="146"/>
      <c r="E14" s="144">
        <v>0.9</v>
      </c>
      <c r="F14" s="147">
        <v>0.7</v>
      </c>
      <c r="G14" s="148"/>
      <c r="H14" s="144">
        <v>0.8</v>
      </c>
      <c r="I14" s="147"/>
    </row>
    <row r="15" spans="1:9" ht="6.75" customHeight="1" x14ac:dyDescent="0.2">
      <c r="B15" s="131"/>
      <c r="C15" s="132"/>
      <c r="D15" s="135"/>
      <c r="E15" s="131"/>
      <c r="F15" s="134"/>
      <c r="G15" s="135"/>
      <c r="H15" s="131"/>
      <c r="I15" s="134"/>
    </row>
    <row r="16" spans="1:9" x14ac:dyDescent="0.2">
      <c r="A16" s="123" t="s">
        <v>84</v>
      </c>
      <c r="B16" s="131">
        <v>0</v>
      </c>
      <c r="C16" s="132"/>
      <c r="D16" s="133"/>
      <c r="E16" s="131">
        <v>150</v>
      </c>
      <c r="F16" s="134">
        <v>150</v>
      </c>
      <c r="G16" s="135"/>
      <c r="H16" s="131">
        <v>150</v>
      </c>
      <c r="I16" s="134"/>
    </row>
    <row r="17" spans="1:9" ht="12.75" customHeight="1" x14ac:dyDescent="0.2">
      <c r="A17" s="123" t="s">
        <v>85</v>
      </c>
      <c r="B17" s="131">
        <v>0</v>
      </c>
      <c r="C17" s="132"/>
      <c r="D17" s="133"/>
      <c r="E17" s="131">
        <v>0</v>
      </c>
      <c r="F17" s="134">
        <v>0</v>
      </c>
      <c r="G17" s="135"/>
      <c r="H17" s="131">
        <v>0</v>
      </c>
      <c r="I17" s="134"/>
    </row>
    <row r="18" spans="1:9" ht="12.75" customHeight="1" x14ac:dyDescent="0.2">
      <c r="A18" s="123" t="s">
        <v>86</v>
      </c>
      <c r="B18" s="131">
        <v>0</v>
      </c>
      <c r="C18" s="132"/>
      <c r="D18" s="133"/>
      <c r="E18" s="131">
        <v>0</v>
      </c>
      <c r="F18" s="134">
        <v>0</v>
      </c>
      <c r="G18" s="135"/>
      <c r="H18" s="131">
        <v>0</v>
      </c>
      <c r="I18" s="134"/>
    </row>
    <row r="19" spans="1:9" ht="12.75" customHeight="1" x14ac:dyDescent="0.2">
      <c r="A19" s="123" t="s">
        <v>87</v>
      </c>
      <c r="B19" s="131">
        <v>0</v>
      </c>
      <c r="C19" s="132"/>
      <c r="D19" s="133"/>
      <c r="E19" s="131">
        <v>0</v>
      </c>
      <c r="F19" s="134">
        <v>0</v>
      </c>
      <c r="G19" s="135"/>
      <c r="H19" s="131">
        <v>30</v>
      </c>
      <c r="I19" s="134"/>
    </row>
    <row r="20" spans="1:9" x14ac:dyDescent="0.2">
      <c r="A20" s="123" t="s">
        <v>88</v>
      </c>
      <c r="B20" s="144">
        <v>0.8</v>
      </c>
      <c r="C20" s="145"/>
      <c r="D20" s="146"/>
      <c r="E20" s="144">
        <v>0.9</v>
      </c>
      <c r="F20" s="147">
        <v>0.7</v>
      </c>
      <c r="G20" s="148"/>
      <c r="H20" s="144">
        <v>0.8</v>
      </c>
      <c r="I20" s="147"/>
    </row>
    <row r="21" spans="1:9" x14ac:dyDescent="0.2">
      <c r="A21" s="123" t="s">
        <v>89</v>
      </c>
      <c r="B21" s="131">
        <v>0</v>
      </c>
      <c r="C21" s="132"/>
      <c r="D21" s="133"/>
      <c r="E21" s="131">
        <v>0</v>
      </c>
      <c r="F21" s="134">
        <v>0</v>
      </c>
      <c r="G21" s="135"/>
      <c r="H21" s="131">
        <v>0</v>
      </c>
      <c r="I21" s="134"/>
    </row>
    <row r="22" spans="1:9" x14ac:dyDescent="0.2">
      <c r="A22" s="123" t="s">
        <v>90</v>
      </c>
      <c r="B22" s="149"/>
      <c r="C22" s="150"/>
      <c r="D22" s="151"/>
      <c r="E22" s="149"/>
      <c r="F22" s="152"/>
      <c r="G22" s="141"/>
      <c r="H22" s="149"/>
      <c r="I22" s="152"/>
    </row>
    <row r="23" spans="1:9" x14ac:dyDescent="0.2">
      <c r="A23" s="123" t="s">
        <v>91</v>
      </c>
      <c r="B23" s="149"/>
      <c r="C23" s="150"/>
      <c r="D23" s="151"/>
      <c r="E23" s="149"/>
      <c r="F23" s="152"/>
      <c r="G23" s="143"/>
      <c r="H23" s="149"/>
      <c r="I23" s="152"/>
    </row>
    <row r="24" spans="1:9" ht="6" customHeight="1" x14ac:dyDescent="0.2">
      <c r="B24" s="125"/>
      <c r="C24" s="126"/>
      <c r="D24" s="127"/>
      <c r="E24" s="125"/>
      <c r="F24" s="137"/>
      <c r="G24" s="82"/>
      <c r="H24" s="125"/>
      <c r="I24" s="137"/>
    </row>
    <row r="25" spans="1:9" x14ac:dyDescent="0.2">
      <c r="A25" s="123" t="s">
        <v>92</v>
      </c>
      <c r="B25" s="153"/>
      <c r="C25" s="154"/>
      <c r="D25" s="155"/>
      <c r="E25" s="153"/>
      <c r="F25" s="156"/>
      <c r="G25" s="143"/>
      <c r="H25" s="153"/>
      <c r="I25" s="156"/>
    </row>
    <row r="26" spans="1:9" x14ac:dyDescent="0.2">
      <c r="A26" s="123" t="s">
        <v>93</v>
      </c>
      <c r="B26" s="131">
        <v>15</v>
      </c>
      <c r="C26" s="132"/>
      <c r="D26" s="157"/>
      <c r="E26" s="131">
        <v>15</v>
      </c>
      <c r="F26" s="134"/>
      <c r="G26" s="135"/>
      <c r="H26" s="131">
        <v>15</v>
      </c>
      <c r="I26" s="134"/>
    </row>
    <row r="27" spans="1:9" x14ac:dyDescent="0.2">
      <c r="A27" s="123" t="s">
        <v>94</v>
      </c>
      <c r="B27" s="131">
        <v>30</v>
      </c>
      <c r="C27" s="132"/>
      <c r="D27" s="157"/>
      <c r="E27" s="131">
        <v>25</v>
      </c>
      <c r="F27" s="134"/>
      <c r="G27" s="135"/>
      <c r="H27" s="131">
        <v>30</v>
      </c>
      <c r="I27" s="134"/>
    </row>
    <row r="28" spans="1:9" ht="13.5" thickBot="1" x14ac:dyDescent="0.25">
      <c r="A28" s="123" t="s">
        <v>95</v>
      </c>
      <c r="B28" s="131">
        <v>30</v>
      </c>
      <c r="C28" s="132"/>
      <c r="D28" s="158"/>
      <c r="E28" s="159">
        <v>45</v>
      </c>
      <c r="F28" s="160"/>
      <c r="G28" s="135"/>
      <c r="H28" s="159">
        <v>30</v>
      </c>
      <c r="I28" s="160"/>
    </row>
    <row r="29" spans="1:9" ht="6" customHeight="1" x14ac:dyDescent="0.2"/>
    <row r="30" spans="1:9" ht="6" customHeight="1" x14ac:dyDescent="0.2"/>
    <row r="31" spans="1:9" x14ac:dyDescent="0.2">
      <c r="B31" s="161"/>
      <c r="C31" s="161"/>
      <c r="D31" s="161"/>
      <c r="E31" s="162" t="s">
        <v>96</v>
      </c>
    </row>
    <row r="32" spans="1:9" ht="6" customHeight="1" x14ac:dyDescent="0.2"/>
    <row r="33" spans="1:8" ht="18.75" customHeight="1" x14ac:dyDescent="0.2">
      <c r="B33" s="244" t="s">
        <v>97</v>
      </c>
      <c r="C33" s="244"/>
      <c r="D33" s="244"/>
      <c r="E33" s="244"/>
      <c r="G33" s="123" t="s">
        <v>7</v>
      </c>
      <c r="H33" s="81" t="s">
        <v>98</v>
      </c>
    </row>
    <row r="34" spans="1:8" ht="18.75" customHeight="1" x14ac:dyDescent="0.2">
      <c r="B34" s="163" t="str">
        <f>CONCATENATE(P1_Carrier," - ",P1_Plan)</f>
        <v>Group Health - HSA</v>
      </c>
      <c r="C34" s="163" t="str">
        <f>CONCATENATE(P2_Carrier," - ",P2_Plan)</f>
        <v>Group Health - Access PPO</v>
      </c>
      <c r="D34" s="163"/>
      <c r="E34" s="163" t="str">
        <f>CONCATENATE(P2_Carrier," - ",P3_Plan)</f>
        <v>Group Health - Essentials</v>
      </c>
      <c r="G34" s="123" t="s">
        <v>99</v>
      </c>
      <c r="H34" s="81" t="s">
        <v>99</v>
      </c>
    </row>
    <row r="35" spans="1:8" ht="15" x14ac:dyDescent="0.2">
      <c r="A35" s="164" t="s">
        <v>3</v>
      </c>
      <c r="B35" s="165">
        <v>15</v>
      </c>
      <c r="C35" s="165">
        <v>55.1</v>
      </c>
      <c r="D35" s="165"/>
      <c r="E35" s="165">
        <v>20</v>
      </c>
      <c r="G35" s="81">
        <v>0</v>
      </c>
      <c r="H35" s="81">
        <v>0</v>
      </c>
    </row>
    <row r="36" spans="1:8" ht="15" x14ac:dyDescent="0.2">
      <c r="A36" s="164" t="s">
        <v>100</v>
      </c>
      <c r="B36" s="165">
        <v>215.32</v>
      </c>
      <c r="C36" s="165">
        <v>686.28</v>
      </c>
      <c r="D36" s="165"/>
      <c r="E36" s="165">
        <v>312.32</v>
      </c>
      <c r="G36" s="81">
        <v>1</v>
      </c>
      <c r="H36" s="81">
        <v>0</v>
      </c>
    </row>
    <row r="37" spans="1:8" ht="15" x14ac:dyDescent="0.2">
      <c r="A37" s="164" t="s">
        <v>101</v>
      </c>
      <c r="B37" s="165">
        <v>359.62</v>
      </c>
      <c r="C37" s="165">
        <v>1002.48</v>
      </c>
      <c r="D37" s="165"/>
      <c r="E37" s="165">
        <v>481.42</v>
      </c>
      <c r="G37" s="81">
        <v>1</v>
      </c>
      <c r="H37" s="81">
        <v>1</v>
      </c>
    </row>
    <row r="38" spans="1:8" ht="15" x14ac:dyDescent="0.2">
      <c r="A38" s="164" t="s">
        <v>102</v>
      </c>
      <c r="B38" s="165">
        <v>503.84</v>
      </c>
      <c r="C38" s="165">
        <v>1343.48</v>
      </c>
      <c r="D38" s="165"/>
      <c r="E38" s="165">
        <v>650.48</v>
      </c>
      <c r="G38" s="81">
        <v>1</v>
      </c>
      <c r="H38" s="81">
        <v>1</v>
      </c>
    </row>
    <row r="39" spans="1:8" ht="15" x14ac:dyDescent="0.2">
      <c r="A39" s="164" t="s">
        <v>103</v>
      </c>
      <c r="B39" s="165">
        <v>35</v>
      </c>
      <c r="C39" s="165">
        <v>371.3</v>
      </c>
      <c r="D39" s="165"/>
      <c r="E39" s="165">
        <v>64.06</v>
      </c>
      <c r="G39" s="81">
        <v>0</v>
      </c>
      <c r="H39" s="81">
        <v>1</v>
      </c>
    </row>
    <row r="40" spans="1:8" ht="15" x14ac:dyDescent="0.2">
      <c r="A40" s="164" t="s">
        <v>104</v>
      </c>
      <c r="B40" s="165">
        <v>113.76</v>
      </c>
      <c r="C40" s="165">
        <v>693.68</v>
      </c>
      <c r="D40" s="165"/>
      <c r="E40" s="165">
        <v>211.8</v>
      </c>
      <c r="G40" s="81">
        <v>0</v>
      </c>
      <c r="H40" s="81">
        <v>1</v>
      </c>
    </row>
    <row r="42" spans="1:8" x14ac:dyDescent="0.2">
      <c r="B42" s="204" t="s">
        <v>105</v>
      </c>
      <c r="C42" s="163"/>
      <c r="D42" s="163"/>
      <c r="E42" s="204" t="s">
        <v>127</v>
      </c>
    </row>
    <row r="43" spans="1:8" x14ac:dyDescent="0.2">
      <c r="B43" s="163" t="s">
        <v>106</v>
      </c>
      <c r="C43" s="163"/>
      <c r="D43" s="163"/>
      <c r="E43" s="163" t="s">
        <v>106</v>
      </c>
    </row>
    <row r="44" spans="1:8" ht="15" x14ac:dyDescent="0.2">
      <c r="A44" s="164" t="s">
        <v>3</v>
      </c>
      <c r="B44" s="166">
        <f>75*12</f>
        <v>900</v>
      </c>
      <c r="C44" s="166"/>
      <c r="D44" s="166"/>
      <c r="E44" s="166">
        <f>65*12</f>
        <v>780</v>
      </c>
    </row>
    <row r="45" spans="1:8" ht="15" x14ac:dyDescent="0.2">
      <c r="A45" s="164" t="s">
        <v>100</v>
      </c>
      <c r="B45" s="166">
        <f>150*12</f>
        <v>1800</v>
      </c>
      <c r="C45" s="166"/>
      <c r="D45" s="166"/>
      <c r="E45" s="166">
        <v>0</v>
      </c>
    </row>
    <row r="46" spans="1:8" ht="15" x14ac:dyDescent="0.2">
      <c r="A46" s="164" t="s">
        <v>101</v>
      </c>
      <c r="B46" s="166">
        <f>150*12</f>
        <v>1800</v>
      </c>
      <c r="C46" s="166"/>
      <c r="D46" s="166"/>
      <c r="E46" s="166">
        <v>0</v>
      </c>
    </row>
    <row r="47" spans="1:8" ht="15" x14ac:dyDescent="0.2">
      <c r="A47" s="164" t="s">
        <v>102</v>
      </c>
      <c r="B47" s="166">
        <f>150*12</f>
        <v>1800</v>
      </c>
      <c r="C47" s="166"/>
      <c r="D47" s="166"/>
      <c r="E47" s="166">
        <v>0</v>
      </c>
    </row>
    <row r="48" spans="1:8" ht="15" x14ac:dyDescent="0.2">
      <c r="A48" s="164" t="s">
        <v>103</v>
      </c>
      <c r="B48" s="166">
        <f>150*12</f>
        <v>1800</v>
      </c>
      <c r="C48" s="166"/>
      <c r="D48" s="166"/>
      <c r="E48" s="166">
        <v>0</v>
      </c>
    </row>
    <row r="49" spans="1:5" ht="15" x14ac:dyDescent="0.2">
      <c r="A49" s="164" t="s">
        <v>104</v>
      </c>
      <c r="B49" s="166">
        <f>150*12</f>
        <v>1800</v>
      </c>
      <c r="C49" s="166"/>
      <c r="D49" s="166"/>
      <c r="E49" s="166">
        <v>0</v>
      </c>
    </row>
    <row r="52" spans="1:5" ht="15" x14ac:dyDescent="0.2">
      <c r="A52" s="164" t="s">
        <v>3</v>
      </c>
      <c r="B52" s="166">
        <f>B39-B35</f>
        <v>20</v>
      </c>
      <c r="C52" s="166">
        <f>C39-C35</f>
        <v>316.2</v>
      </c>
      <c r="D52" s="166"/>
      <c r="E52" s="166">
        <f>E39-E35</f>
        <v>44.06</v>
      </c>
    </row>
    <row r="53" spans="1:5" ht="15" x14ac:dyDescent="0.2">
      <c r="A53" s="164" t="s">
        <v>100</v>
      </c>
      <c r="B53" s="166">
        <f>B37-B36</f>
        <v>144.30000000000001</v>
      </c>
      <c r="C53" s="166">
        <f>C37-C36</f>
        <v>316.20000000000005</v>
      </c>
      <c r="D53" s="166"/>
      <c r="E53" s="166">
        <f>E37-E36</f>
        <v>169.10000000000002</v>
      </c>
    </row>
    <row r="54" spans="1:5" ht="15" x14ac:dyDescent="0.2">
      <c r="A54" s="164" t="s">
        <v>101</v>
      </c>
      <c r="B54" s="166">
        <f>B38-B37</f>
        <v>144.21999999999997</v>
      </c>
      <c r="C54" s="166">
        <f>C38-C37</f>
        <v>341</v>
      </c>
      <c r="D54" s="166"/>
      <c r="E54" s="166">
        <f>E38-E37</f>
        <v>169.06</v>
      </c>
    </row>
    <row r="55" spans="1:5" ht="15" x14ac:dyDescent="0.2">
      <c r="A55" s="164" t="s">
        <v>102</v>
      </c>
      <c r="B55" s="166">
        <v>0</v>
      </c>
      <c r="C55" s="166">
        <v>0</v>
      </c>
      <c r="D55" s="166"/>
      <c r="E55" s="166">
        <v>0</v>
      </c>
    </row>
    <row r="56" spans="1:5" ht="15" x14ac:dyDescent="0.2">
      <c r="A56" s="164" t="s">
        <v>103</v>
      </c>
      <c r="B56" s="166">
        <f>B40-B39</f>
        <v>78.760000000000005</v>
      </c>
      <c r="C56" s="166">
        <f>C40-C39</f>
        <v>322.37999999999994</v>
      </c>
      <c r="D56" s="166"/>
      <c r="E56" s="166">
        <f>E40-E39</f>
        <v>147.74</v>
      </c>
    </row>
    <row r="57" spans="1:5" ht="15" x14ac:dyDescent="0.2">
      <c r="A57" s="164" t="s">
        <v>104</v>
      </c>
      <c r="B57" s="166">
        <v>0</v>
      </c>
      <c r="C57" s="166">
        <v>0</v>
      </c>
      <c r="D57" s="166"/>
      <c r="E57" s="166">
        <v>0</v>
      </c>
    </row>
  </sheetData>
  <mergeCells count="9">
    <mergeCell ref="H2:I2"/>
    <mergeCell ref="H3:I3"/>
    <mergeCell ref="D2:D3"/>
    <mergeCell ref="B33:E33"/>
    <mergeCell ref="B1:F1"/>
    <mergeCell ref="E2:F2"/>
    <mergeCell ref="E3:F3"/>
    <mergeCell ref="B2:C2"/>
    <mergeCell ref="B3:C3"/>
  </mergeCells>
  <phoneticPr fontId="2" type="noConversion"/>
  <pageMargins left="0.75" right="0.75" top="1" bottom="1" header="0.5" footer="0.5"/>
  <pageSetup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8"/>
  <sheetViews>
    <sheetView workbookViewId="0">
      <selection activeCell="D28" sqref="D28"/>
    </sheetView>
  </sheetViews>
  <sheetFormatPr defaultRowHeight="12.75" x14ac:dyDescent="0.2"/>
  <cols>
    <col min="1" max="1" width="32.85546875" bestFit="1" customWidth="1"/>
    <col min="2" max="2" width="3.5703125" customWidth="1"/>
    <col min="4" max="4" width="12.7109375" customWidth="1"/>
    <col min="6" max="6" width="10.85546875" bestFit="1" customWidth="1"/>
  </cols>
  <sheetData>
    <row r="1" spans="1:7" x14ac:dyDescent="0.2">
      <c r="C1" s="81"/>
      <c r="D1" s="81"/>
      <c r="E1" s="81"/>
      <c r="F1" s="81"/>
      <c r="G1" s="167"/>
    </row>
    <row r="2" spans="1:7" ht="15.75" x14ac:dyDescent="0.25">
      <c r="C2" s="233" t="s">
        <v>107</v>
      </c>
      <c r="D2" s="233"/>
      <c r="E2" s="233"/>
      <c r="F2" s="233"/>
      <c r="G2" s="83"/>
    </row>
    <row r="3" spans="1:7" ht="30" x14ac:dyDescent="0.2">
      <c r="C3" s="101" t="s">
        <v>38</v>
      </c>
      <c r="D3" s="168" t="s">
        <v>39</v>
      </c>
      <c r="E3" s="101" t="s">
        <v>40</v>
      </c>
      <c r="F3" s="101" t="s">
        <v>41</v>
      </c>
      <c r="G3" s="83"/>
    </row>
    <row r="4" spans="1:7" ht="14.25" x14ac:dyDescent="0.2">
      <c r="C4" s="87"/>
      <c r="D4" s="87"/>
      <c r="E4" s="87"/>
      <c r="F4" s="87"/>
      <c r="G4" s="86"/>
    </row>
    <row r="5" spans="1:7" ht="14.25" x14ac:dyDescent="0.2">
      <c r="C5" s="87"/>
      <c r="D5" s="87"/>
      <c r="E5" s="87"/>
      <c r="F5" s="87"/>
      <c r="G5" s="86"/>
    </row>
    <row r="6" spans="1:7" ht="14.25" x14ac:dyDescent="0.2">
      <c r="A6" s="181" t="s">
        <v>110</v>
      </c>
      <c r="C6" s="87">
        <v>1000</v>
      </c>
      <c r="D6" s="87">
        <v>900</v>
      </c>
      <c r="E6" s="87">
        <v>10000</v>
      </c>
      <c r="F6" s="87">
        <v>5000</v>
      </c>
      <c r="G6" s="86"/>
    </row>
    <row r="7" spans="1:7" ht="3.75" customHeight="1" x14ac:dyDescent="0.2">
      <c r="C7" s="87"/>
      <c r="D7" s="87"/>
      <c r="E7" s="87"/>
      <c r="F7" s="87"/>
      <c r="G7" s="86"/>
    </row>
    <row r="8" spans="1:7" ht="14.25" customHeight="1" x14ac:dyDescent="0.2">
      <c r="A8" s="181" t="s">
        <v>111</v>
      </c>
      <c r="C8" s="87"/>
      <c r="D8" s="87"/>
      <c r="E8" s="87">
        <v>1200</v>
      </c>
      <c r="F8" s="87">
        <v>400</v>
      </c>
      <c r="G8" s="86"/>
    </row>
    <row r="9" spans="1:7" ht="3.75" customHeight="1" x14ac:dyDescent="0.2">
      <c r="C9" s="169"/>
      <c r="D9" s="169"/>
      <c r="E9" s="169"/>
      <c r="F9" s="169"/>
      <c r="G9" s="86"/>
    </row>
    <row r="10" spans="1:7" ht="3.75" customHeight="1" x14ac:dyDescent="0.2">
      <c r="C10" s="169"/>
      <c r="D10" s="169"/>
      <c r="E10" s="169"/>
      <c r="F10" s="169"/>
      <c r="G10" s="86"/>
    </row>
    <row r="11" spans="1:7" ht="3.75" customHeight="1" x14ac:dyDescent="0.2">
      <c r="C11" s="169"/>
      <c r="D11" s="169"/>
      <c r="E11" s="169"/>
      <c r="F11" s="169"/>
      <c r="G11" s="86"/>
    </row>
    <row r="12" spans="1:7" ht="14.25" x14ac:dyDescent="0.2">
      <c r="A12" s="170" t="s">
        <v>46</v>
      </c>
      <c r="C12" s="171">
        <v>225</v>
      </c>
      <c r="D12" s="87"/>
      <c r="E12" s="169"/>
      <c r="F12" s="169"/>
      <c r="G12" s="86"/>
    </row>
    <row r="13" spans="1:7" ht="4.5" customHeight="1" x14ac:dyDescent="0.2">
      <c r="A13" s="170"/>
      <c r="C13" s="169"/>
      <c r="D13" s="169"/>
      <c r="E13" s="169"/>
      <c r="F13" s="169"/>
      <c r="G13" s="86"/>
    </row>
    <row r="14" spans="1:7" ht="14.25" x14ac:dyDescent="0.2">
      <c r="A14" s="170" t="s">
        <v>47</v>
      </c>
      <c r="C14" s="169">
        <v>160</v>
      </c>
      <c r="D14" s="169">
        <v>0</v>
      </c>
      <c r="E14" s="169"/>
      <c r="F14" s="169"/>
      <c r="G14" s="86"/>
    </row>
    <row r="15" spans="1:7" ht="4.5" customHeight="1" x14ac:dyDescent="0.2">
      <c r="A15" s="170"/>
      <c r="C15" s="169"/>
      <c r="D15" s="169"/>
      <c r="E15" s="169"/>
      <c r="F15" s="169"/>
      <c r="G15" s="86"/>
    </row>
    <row r="16" spans="1:7" ht="14.25" x14ac:dyDescent="0.2">
      <c r="A16" s="170" t="s">
        <v>48</v>
      </c>
      <c r="C16" s="169">
        <v>220</v>
      </c>
      <c r="D16" s="169">
        <v>150</v>
      </c>
      <c r="E16" s="169"/>
      <c r="F16" s="169"/>
      <c r="G16" s="86"/>
    </row>
    <row r="17" spans="1:7" ht="4.5" customHeight="1" x14ac:dyDescent="0.2">
      <c r="A17" s="170"/>
      <c r="C17" s="169"/>
      <c r="D17" s="169"/>
      <c r="E17" s="169"/>
      <c r="F17" s="169"/>
      <c r="G17" s="86"/>
    </row>
    <row r="18" spans="1:7" ht="14.25" x14ac:dyDescent="0.2">
      <c r="A18" s="170" t="s">
        <v>49</v>
      </c>
      <c r="C18" s="169"/>
      <c r="D18" s="169"/>
      <c r="E18" s="169">
        <v>1300</v>
      </c>
      <c r="F18" s="169"/>
      <c r="G18" s="86"/>
    </row>
    <row r="19" spans="1:7" ht="4.5" customHeight="1" x14ac:dyDescent="0.2">
      <c r="A19" s="170"/>
      <c r="C19" s="169"/>
      <c r="D19" s="169"/>
      <c r="E19" s="169"/>
      <c r="F19" s="169"/>
      <c r="G19" s="86"/>
    </row>
    <row r="20" spans="1:7" ht="14.25" x14ac:dyDescent="0.2">
      <c r="A20" s="170" t="s">
        <v>50</v>
      </c>
      <c r="C20" s="169"/>
      <c r="D20" s="169">
        <v>25</v>
      </c>
      <c r="E20" s="169"/>
      <c r="F20" s="169"/>
      <c r="G20" s="86"/>
    </row>
    <row r="21" spans="1:7" ht="4.5" customHeight="1" x14ac:dyDescent="0.2">
      <c r="A21" s="170"/>
      <c r="C21" s="169"/>
      <c r="D21" s="169"/>
      <c r="E21" s="169"/>
      <c r="F21" s="169"/>
      <c r="G21" s="86"/>
    </row>
    <row r="22" spans="1:7" ht="14.25" x14ac:dyDescent="0.2">
      <c r="A22" s="170" t="s">
        <v>51</v>
      </c>
      <c r="C22" s="97"/>
      <c r="D22" s="169">
        <v>400</v>
      </c>
      <c r="E22" s="169"/>
      <c r="F22" s="169"/>
      <c r="G22" s="86"/>
    </row>
    <row r="23" spans="1:7" ht="4.5" customHeight="1" x14ac:dyDescent="0.2">
      <c r="A23" s="170"/>
      <c r="C23" s="169"/>
      <c r="D23" s="169"/>
      <c r="E23" s="169"/>
      <c r="F23" s="169"/>
      <c r="G23" s="86"/>
    </row>
    <row r="24" spans="1:7" ht="14.25" x14ac:dyDescent="0.2">
      <c r="A24" s="170" t="s">
        <v>52</v>
      </c>
      <c r="C24" s="97"/>
      <c r="D24" s="169">
        <v>1500</v>
      </c>
      <c r="E24" s="169"/>
      <c r="F24" s="169"/>
      <c r="G24" s="86"/>
    </row>
    <row r="25" spans="1:7" ht="4.5" customHeight="1" x14ac:dyDescent="0.2">
      <c r="A25" s="170"/>
      <c r="C25" s="169"/>
      <c r="D25" s="169"/>
      <c r="E25" s="169"/>
      <c r="F25" s="169"/>
      <c r="G25" s="86"/>
    </row>
    <row r="26" spans="1:7" ht="14.25" x14ac:dyDescent="0.2">
      <c r="A26" s="170" t="s">
        <v>53</v>
      </c>
      <c r="C26" s="169"/>
      <c r="E26" s="169">
        <v>100000</v>
      </c>
      <c r="F26" s="169">
        <v>5000</v>
      </c>
      <c r="G26" s="86"/>
    </row>
    <row r="27" spans="1:7" ht="4.5" customHeight="1" x14ac:dyDescent="0.2">
      <c r="A27" s="170"/>
      <c r="C27" s="87"/>
      <c r="D27" s="87"/>
      <c r="E27" s="87"/>
      <c r="F27" s="87"/>
      <c r="G27" s="86"/>
    </row>
    <row r="28" spans="1:7" ht="14.25" x14ac:dyDescent="0.2">
      <c r="A28" s="170" t="s">
        <v>54</v>
      </c>
      <c r="C28" s="87"/>
      <c r="D28" s="87">
        <v>1000</v>
      </c>
      <c r="E28" s="87">
        <v>16000</v>
      </c>
      <c r="F28" s="87">
        <v>8000</v>
      </c>
      <c r="G28" s="86"/>
    </row>
    <row r="29" spans="1:7" ht="14.25" x14ac:dyDescent="0.2">
      <c r="C29" s="87"/>
      <c r="D29" s="87"/>
      <c r="E29" s="87"/>
      <c r="F29" s="87"/>
      <c r="G29" s="86"/>
    </row>
    <row r="30" spans="1:7" ht="14.25" x14ac:dyDescent="0.2">
      <c r="A30" s="181" t="s">
        <v>133</v>
      </c>
      <c r="C30" s="87"/>
      <c r="D30" s="87"/>
      <c r="E30" s="87"/>
      <c r="F30" s="87"/>
      <c r="G30" s="86"/>
    </row>
    <row r="31" spans="1:7" ht="14.25" x14ac:dyDescent="0.2">
      <c r="A31" s="181" t="s">
        <v>130</v>
      </c>
      <c r="C31" s="87">
        <v>18</v>
      </c>
      <c r="D31" s="87"/>
      <c r="E31" s="87"/>
      <c r="F31" s="87"/>
      <c r="G31" s="97"/>
    </row>
    <row r="32" spans="1:7" ht="15.75" x14ac:dyDescent="0.25">
      <c r="A32" s="181" t="s">
        <v>131</v>
      </c>
      <c r="C32" s="208">
        <v>75</v>
      </c>
      <c r="D32" s="79"/>
      <c r="E32" s="79"/>
      <c r="F32" s="79"/>
      <c r="G32" s="105"/>
    </row>
    <row r="33" spans="1:7" ht="14.25" x14ac:dyDescent="0.2">
      <c r="A33" s="181" t="s">
        <v>132</v>
      </c>
      <c r="C33" s="87">
        <v>125</v>
      </c>
      <c r="D33" s="87"/>
      <c r="E33" s="87"/>
      <c r="F33" s="87"/>
      <c r="G33" s="97"/>
    </row>
    <row r="34" spans="1:7" ht="14.25" x14ac:dyDescent="0.2">
      <c r="C34" s="87"/>
      <c r="D34" s="87"/>
      <c r="E34" s="87"/>
      <c r="F34" s="87"/>
      <c r="G34" s="97"/>
    </row>
    <row r="35" spans="1:7" ht="15.75" x14ac:dyDescent="0.25">
      <c r="C35" s="79"/>
      <c r="D35" s="79"/>
      <c r="E35" s="79"/>
      <c r="F35" s="79"/>
      <c r="G35" s="105"/>
    </row>
    <row r="36" spans="1:7" ht="14.25" x14ac:dyDescent="0.2">
      <c r="C36" s="87"/>
      <c r="D36" s="87"/>
      <c r="E36" s="87"/>
      <c r="F36" s="87"/>
      <c r="G36" s="97"/>
    </row>
    <row r="37" spans="1:7" ht="14.25" x14ac:dyDescent="0.2">
      <c r="C37" s="87"/>
      <c r="D37" s="87"/>
      <c r="E37" s="87"/>
      <c r="F37" s="87"/>
      <c r="G37" s="97"/>
    </row>
    <row r="38" spans="1:7" x14ac:dyDescent="0.2">
      <c r="C38" s="172"/>
      <c r="D38" s="172"/>
      <c r="E38" s="172"/>
      <c r="F38" s="172"/>
      <c r="G38" s="173"/>
    </row>
  </sheetData>
  <mergeCells count="1">
    <mergeCell ref="C2:F2"/>
  </mergeCells>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G57"/>
  <sheetViews>
    <sheetView topLeftCell="A43" workbookViewId="0">
      <selection activeCell="D60" sqref="D60"/>
    </sheetView>
  </sheetViews>
  <sheetFormatPr defaultRowHeight="12.75" x14ac:dyDescent="0.2"/>
  <sheetData>
    <row r="2" spans="1:7" x14ac:dyDescent="0.2">
      <c r="F2" s="165" t="s">
        <v>105</v>
      </c>
      <c r="G2" s="165" t="s">
        <v>108</v>
      </c>
    </row>
    <row r="8" spans="1:7" x14ac:dyDescent="0.2">
      <c r="A8">
        <v>10</v>
      </c>
      <c r="C8">
        <v>0</v>
      </c>
    </row>
    <row r="9" spans="1:7" x14ac:dyDescent="0.2">
      <c r="A9">
        <f t="shared" ref="A9:A17" si="0">A8+10</f>
        <v>20</v>
      </c>
      <c r="C9">
        <v>1</v>
      </c>
    </row>
    <row r="10" spans="1:7" x14ac:dyDescent="0.2">
      <c r="A10">
        <f t="shared" si="0"/>
        <v>30</v>
      </c>
    </row>
    <row r="11" spans="1:7" x14ac:dyDescent="0.2">
      <c r="A11">
        <f t="shared" si="0"/>
        <v>40</v>
      </c>
    </row>
    <row r="12" spans="1:7" x14ac:dyDescent="0.2">
      <c r="A12">
        <f t="shared" si="0"/>
        <v>50</v>
      </c>
    </row>
    <row r="13" spans="1:7" x14ac:dyDescent="0.2">
      <c r="A13">
        <f t="shared" si="0"/>
        <v>60</v>
      </c>
      <c r="C13">
        <v>0</v>
      </c>
    </row>
    <row r="14" spans="1:7" x14ac:dyDescent="0.2">
      <c r="A14">
        <f t="shared" si="0"/>
        <v>70</v>
      </c>
      <c r="C14">
        <v>1</v>
      </c>
    </row>
    <row r="15" spans="1:7" x14ac:dyDescent="0.2">
      <c r="A15">
        <f t="shared" si="0"/>
        <v>80</v>
      </c>
      <c r="C15">
        <v>2</v>
      </c>
    </row>
    <row r="16" spans="1:7" x14ac:dyDescent="0.2">
      <c r="A16">
        <f t="shared" si="0"/>
        <v>90</v>
      </c>
      <c r="C16">
        <v>3</v>
      </c>
    </row>
    <row r="17" spans="1:3" x14ac:dyDescent="0.2">
      <c r="A17">
        <f t="shared" si="0"/>
        <v>100</v>
      </c>
      <c r="C17">
        <v>4</v>
      </c>
    </row>
    <row r="18" spans="1:3" x14ac:dyDescent="0.2">
      <c r="C18">
        <v>5</v>
      </c>
    </row>
    <row r="19" spans="1:3" x14ac:dyDescent="0.2">
      <c r="C19">
        <v>6</v>
      </c>
    </row>
    <row r="20" spans="1:3" x14ac:dyDescent="0.2">
      <c r="C20">
        <v>7</v>
      </c>
    </row>
    <row r="21" spans="1:3" x14ac:dyDescent="0.2">
      <c r="A21">
        <v>20</v>
      </c>
      <c r="C21">
        <v>8</v>
      </c>
    </row>
    <row r="22" spans="1:3" x14ac:dyDescent="0.2">
      <c r="A22">
        <f t="shared" ref="A22:A30" si="1">A21+20</f>
        <v>40</v>
      </c>
      <c r="C22">
        <v>9</v>
      </c>
    </row>
    <row r="23" spans="1:3" x14ac:dyDescent="0.2">
      <c r="A23">
        <f t="shared" si="1"/>
        <v>60</v>
      </c>
      <c r="C23">
        <v>10</v>
      </c>
    </row>
    <row r="24" spans="1:3" x14ac:dyDescent="0.2">
      <c r="A24">
        <f t="shared" si="1"/>
        <v>80</v>
      </c>
      <c r="C24">
        <v>11</v>
      </c>
    </row>
    <row r="25" spans="1:3" x14ac:dyDescent="0.2">
      <c r="A25">
        <f t="shared" si="1"/>
        <v>100</v>
      </c>
      <c r="C25">
        <v>12</v>
      </c>
    </row>
    <row r="26" spans="1:3" x14ac:dyDescent="0.2">
      <c r="A26">
        <f t="shared" si="1"/>
        <v>120</v>
      </c>
      <c r="C26">
        <v>13</v>
      </c>
    </row>
    <row r="27" spans="1:3" x14ac:dyDescent="0.2">
      <c r="A27">
        <f t="shared" si="1"/>
        <v>140</v>
      </c>
      <c r="C27">
        <v>14</v>
      </c>
    </row>
    <row r="28" spans="1:3" x14ac:dyDescent="0.2">
      <c r="A28">
        <f t="shared" si="1"/>
        <v>160</v>
      </c>
      <c r="C28">
        <v>15</v>
      </c>
    </row>
    <row r="29" spans="1:3" x14ac:dyDescent="0.2">
      <c r="A29">
        <f t="shared" si="1"/>
        <v>180</v>
      </c>
      <c r="C29">
        <v>16</v>
      </c>
    </row>
    <row r="30" spans="1:3" x14ac:dyDescent="0.2">
      <c r="A30">
        <f t="shared" si="1"/>
        <v>200</v>
      </c>
      <c r="C30">
        <v>17</v>
      </c>
    </row>
    <row r="31" spans="1:3" x14ac:dyDescent="0.2">
      <c r="C31">
        <v>18</v>
      </c>
    </row>
    <row r="32" spans="1:3" x14ac:dyDescent="0.2">
      <c r="C32">
        <v>19</v>
      </c>
    </row>
    <row r="33" spans="1:3" x14ac:dyDescent="0.2">
      <c r="A33">
        <v>50</v>
      </c>
      <c r="C33">
        <v>20</v>
      </c>
    </row>
    <row r="34" spans="1:3" x14ac:dyDescent="0.2">
      <c r="A34">
        <f t="shared" ref="A34:A52" si="2">A33+50</f>
        <v>100</v>
      </c>
      <c r="C34">
        <v>21</v>
      </c>
    </row>
    <row r="35" spans="1:3" x14ac:dyDescent="0.2">
      <c r="A35">
        <f t="shared" si="2"/>
        <v>150</v>
      </c>
      <c r="C35">
        <v>22</v>
      </c>
    </row>
    <row r="36" spans="1:3" x14ac:dyDescent="0.2">
      <c r="A36">
        <f t="shared" si="2"/>
        <v>200</v>
      </c>
      <c r="C36">
        <v>23</v>
      </c>
    </row>
    <row r="37" spans="1:3" x14ac:dyDescent="0.2">
      <c r="A37">
        <f t="shared" si="2"/>
        <v>250</v>
      </c>
      <c r="C37">
        <v>24</v>
      </c>
    </row>
    <row r="38" spans="1:3" x14ac:dyDescent="0.2">
      <c r="A38">
        <f t="shared" si="2"/>
        <v>300</v>
      </c>
    </row>
    <row r="39" spans="1:3" x14ac:dyDescent="0.2">
      <c r="A39">
        <f t="shared" si="2"/>
        <v>350</v>
      </c>
    </row>
    <row r="40" spans="1:3" x14ac:dyDescent="0.2">
      <c r="A40">
        <f t="shared" si="2"/>
        <v>400</v>
      </c>
    </row>
    <row r="41" spans="1:3" x14ac:dyDescent="0.2">
      <c r="A41">
        <f t="shared" si="2"/>
        <v>450</v>
      </c>
    </row>
    <row r="42" spans="1:3" x14ac:dyDescent="0.2">
      <c r="A42">
        <f t="shared" si="2"/>
        <v>500</v>
      </c>
    </row>
    <row r="43" spans="1:3" x14ac:dyDescent="0.2">
      <c r="A43">
        <f t="shared" si="2"/>
        <v>550</v>
      </c>
    </row>
    <row r="44" spans="1:3" x14ac:dyDescent="0.2">
      <c r="A44">
        <f t="shared" si="2"/>
        <v>600</v>
      </c>
    </row>
    <row r="45" spans="1:3" x14ac:dyDescent="0.2">
      <c r="A45">
        <f t="shared" si="2"/>
        <v>650</v>
      </c>
    </row>
    <row r="46" spans="1:3" x14ac:dyDescent="0.2">
      <c r="A46">
        <f t="shared" si="2"/>
        <v>700</v>
      </c>
    </row>
    <row r="47" spans="1:3" x14ac:dyDescent="0.2">
      <c r="A47">
        <f t="shared" si="2"/>
        <v>750</v>
      </c>
    </row>
    <row r="48" spans="1:3" x14ac:dyDescent="0.2">
      <c r="A48">
        <f t="shared" si="2"/>
        <v>800</v>
      </c>
    </row>
    <row r="49" spans="1:1" x14ac:dyDescent="0.2">
      <c r="A49">
        <f t="shared" si="2"/>
        <v>850</v>
      </c>
    </row>
    <row r="50" spans="1:1" x14ac:dyDescent="0.2">
      <c r="A50">
        <f t="shared" si="2"/>
        <v>900</v>
      </c>
    </row>
    <row r="51" spans="1:1" x14ac:dyDescent="0.2">
      <c r="A51">
        <f t="shared" si="2"/>
        <v>950</v>
      </c>
    </row>
    <row r="52" spans="1:1" x14ac:dyDescent="0.2">
      <c r="A52">
        <f t="shared" si="2"/>
        <v>1000</v>
      </c>
    </row>
    <row r="56" spans="1:1" ht="15.75" x14ac:dyDescent="0.25">
      <c r="A56" s="105" t="s">
        <v>13</v>
      </c>
    </row>
    <row r="57" spans="1:1" ht="15.75" x14ac:dyDescent="0.25">
      <c r="A57" s="105" t="s">
        <v>9</v>
      </c>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160</vt:i4>
      </vt:variant>
    </vt:vector>
  </HeadingPairs>
  <TitlesOfParts>
    <vt:vector size="165" baseType="lpstr">
      <vt:lpstr>Plan Comparison Calculator</vt:lpstr>
      <vt:lpstr>OOP Calc</vt:lpstr>
      <vt:lpstr>Plan Defn</vt:lpstr>
      <vt:lpstr>Base Costs</vt:lpstr>
      <vt:lpstr>Drop Down Parameters</vt:lpstr>
      <vt:lpstr>Baby_Facility</vt:lpstr>
      <vt:lpstr>Baby_Physician</vt:lpstr>
      <vt:lpstr>CatScan</vt:lpstr>
      <vt:lpstr>Coverage</vt:lpstr>
      <vt:lpstr>EE_Phys</vt:lpstr>
      <vt:lpstr>EEPhys</vt:lpstr>
      <vt:lpstr>Employee_CostShare</vt:lpstr>
      <vt:lpstr>ER</vt:lpstr>
      <vt:lpstr>ER_IP</vt:lpstr>
      <vt:lpstr>Error</vt:lpstr>
      <vt:lpstr>Formulary</vt:lpstr>
      <vt:lpstr>FSA_Contribution</vt:lpstr>
      <vt:lpstr>Generic</vt:lpstr>
      <vt:lpstr>HSA_Contribution</vt:lpstr>
      <vt:lpstr>IP_Facility</vt:lpstr>
      <vt:lpstr>IP_Hosp</vt:lpstr>
      <vt:lpstr>IP_Physician</vt:lpstr>
      <vt:lpstr>IP_XrayLab</vt:lpstr>
      <vt:lpstr>Lab</vt:lpstr>
      <vt:lpstr>Matenity_XrayLab</vt:lpstr>
      <vt:lpstr>Maternity_Facility</vt:lpstr>
      <vt:lpstr>Maternity_Inpatient</vt:lpstr>
      <vt:lpstr>Maternity_Office</vt:lpstr>
      <vt:lpstr>Maternity_Physician</vt:lpstr>
      <vt:lpstr>Maternity_XrayLab</vt:lpstr>
      <vt:lpstr>Network_Choice</vt:lpstr>
      <vt:lpstr>NonFormulary</vt:lpstr>
      <vt:lpstr>OONCostLoad</vt:lpstr>
      <vt:lpstr>P1_Carrier</vt:lpstr>
      <vt:lpstr>P1_Coins</vt:lpstr>
      <vt:lpstr>P1_Deduct</vt:lpstr>
      <vt:lpstr>P1_ER</vt:lpstr>
      <vt:lpstr>P1_FamMult</vt:lpstr>
      <vt:lpstr>P1_In_Coins</vt:lpstr>
      <vt:lpstr>P1_In_Deduct</vt:lpstr>
      <vt:lpstr>P1_In_ER</vt:lpstr>
      <vt:lpstr>P1_In_FamMult</vt:lpstr>
      <vt:lpstr>P1_In_IP_Hosp_Copay</vt:lpstr>
      <vt:lpstr>P1_In_LabMax</vt:lpstr>
      <vt:lpstr>P1_In_Maternity_IP_Copay</vt:lpstr>
      <vt:lpstr>P1_In_OOPMax</vt:lpstr>
      <vt:lpstr>P1_In_OP_Surgery_Copay</vt:lpstr>
      <vt:lpstr>P1_In_Ov</vt:lpstr>
      <vt:lpstr>P1_In_OVCoins</vt:lpstr>
      <vt:lpstr>P1_In_Rx1</vt:lpstr>
      <vt:lpstr>P1_In_Rx2</vt:lpstr>
      <vt:lpstr>P1_In_Rx3</vt:lpstr>
      <vt:lpstr>P1_IP_Hosp_Copay</vt:lpstr>
      <vt:lpstr>P1_LabMax</vt:lpstr>
      <vt:lpstr>P1_Maternity_IP_Copay</vt:lpstr>
      <vt:lpstr>P1_OOPMax</vt:lpstr>
      <vt:lpstr>P1_OP_Surg_Copay</vt:lpstr>
      <vt:lpstr>P1_Out_Coins</vt:lpstr>
      <vt:lpstr>P1_Out_Deduct</vt:lpstr>
      <vt:lpstr>P1_Out_ER</vt:lpstr>
      <vt:lpstr>P1_Out_FamMult</vt:lpstr>
      <vt:lpstr>P1_Out_IP_Hosp_Copay</vt:lpstr>
      <vt:lpstr>P1_Out_LabMax</vt:lpstr>
      <vt:lpstr>P1_Out_Maternity_IP_Copay</vt:lpstr>
      <vt:lpstr>P1_Out_OOPMax</vt:lpstr>
      <vt:lpstr>P1_Out_OP_Surgery_Copay</vt:lpstr>
      <vt:lpstr>P1_Out_Ov</vt:lpstr>
      <vt:lpstr>P1_Out_OVCoins</vt:lpstr>
      <vt:lpstr>P1_Out_Rx1</vt:lpstr>
      <vt:lpstr>P1_Out_Rx2</vt:lpstr>
      <vt:lpstr>P1_Out_Rx3</vt:lpstr>
      <vt:lpstr>P1_OV</vt:lpstr>
      <vt:lpstr>P1_OVCoins</vt:lpstr>
      <vt:lpstr>P1_Plan</vt:lpstr>
      <vt:lpstr>P1_Rx1</vt:lpstr>
      <vt:lpstr>P1_Rx2</vt:lpstr>
      <vt:lpstr>P1_Rx3</vt:lpstr>
      <vt:lpstr>P1_RxDed</vt:lpstr>
      <vt:lpstr>P1_RxDeduct</vt:lpstr>
      <vt:lpstr>P2_Carrier</vt:lpstr>
      <vt:lpstr>P2_Coins</vt:lpstr>
      <vt:lpstr>P2_Deduct</vt:lpstr>
      <vt:lpstr>P2_ER</vt:lpstr>
      <vt:lpstr>P2_FamMult</vt:lpstr>
      <vt:lpstr>P2_In_Coins</vt:lpstr>
      <vt:lpstr>P2_In_Deduct</vt:lpstr>
      <vt:lpstr>P2_In_ER</vt:lpstr>
      <vt:lpstr>P2_In_FamMult</vt:lpstr>
      <vt:lpstr>P2_In_IP_Hosp_Copay</vt:lpstr>
      <vt:lpstr>P2_In_LabMax</vt:lpstr>
      <vt:lpstr>P2_In_Maternity_IP_Copay</vt:lpstr>
      <vt:lpstr>P2_In_OOPMax</vt:lpstr>
      <vt:lpstr>P2_In_OP_Surgery_Copay</vt:lpstr>
      <vt:lpstr>P2_In_OV</vt:lpstr>
      <vt:lpstr>P2_In_OVCoins</vt:lpstr>
      <vt:lpstr>P2_In_Rx1</vt:lpstr>
      <vt:lpstr>P2_In_Rx2</vt:lpstr>
      <vt:lpstr>P2_In_Rx3</vt:lpstr>
      <vt:lpstr>P2_IP_Hosp_Copay</vt:lpstr>
      <vt:lpstr>P2_LabMax</vt:lpstr>
      <vt:lpstr>P2_Maternity_IP_Copay</vt:lpstr>
      <vt:lpstr>P2_OOPMax</vt:lpstr>
      <vt:lpstr>P2_OP_Surg_Copay</vt:lpstr>
      <vt:lpstr>P2_Out_Coins</vt:lpstr>
      <vt:lpstr>P2_Out_Deduct</vt:lpstr>
      <vt:lpstr>P2_Out_ER</vt:lpstr>
      <vt:lpstr>P2_Out_FamMult</vt:lpstr>
      <vt:lpstr>P2_Out_IP_Hosp_Copay</vt:lpstr>
      <vt:lpstr>P2_Out_LabMax</vt:lpstr>
      <vt:lpstr>P2_Out_Maternity_IP_Copay</vt:lpstr>
      <vt:lpstr>P2_Out_OOPMax</vt:lpstr>
      <vt:lpstr>P2_Out_OP_Surgery_Copay</vt:lpstr>
      <vt:lpstr>P2_Out_OV</vt:lpstr>
      <vt:lpstr>P2_Out_OVCoins</vt:lpstr>
      <vt:lpstr>P2_Out_Rx1</vt:lpstr>
      <vt:lpstr>P2_Out_Rx2</vt:lpstr>
      <vt:lpstr>P2_Out_Rx3</vt:lpstr>
      <vt:lpstr>P2_OV</vt:lpstr>
      <vt:lpstr>P2_OVCoins</vt:lpstr>
      <vt:lpstr>P2_Plan</vt:lpstr>
      <vt:lpstr>P2_Rx1</vt:lpstr>
      <vt:lpstr>P2_Rx2</vt:lpstr>
      <vt:lpstr>P2_Rx3</vt:lpstr>
      <vt:lpstr>P2_RxDeduct</vt:lpstr>
      <vt:lpstr>P3_In_Coins</vt:lpstr>
      <vt:lpstr>P3_In_Deduct</vt:lpstr>
      <vt:lpstr>P3_In_ER</vt:lpstr>
      <vt:lpstr>P3_In_FamMult</vt:lpstr>
      <vt:lpstr>P3_In_IP_Hosp_Copay</vt:lpstr>
      <vt:lpstr>P3_In_LabMax</vt:lpstr>
      <vt:lpstr>P3_In_Maternity_IP_Copay</vt:lpstr>
      <vt:lpstr>P3_In_OOPMax</vt:lpstr>
      <vt:lpstr>P3_In_OP_Surgery_Copay</vt:lpstr>
      <vt:lpstr>P3_In_OV</vt:lpstr>
      <vt:lpstr>P3_In_OVCoins</vt:lpstr>
      <vt:lpstr>P3_In_Rx1</vt:lpstr>
      <vt:lpstr>P3_In_Rx2</vt:lpstr>
      <vt:lpstr>P3_In_Rx3</vt:lpstr>
      <vt:lpstr>P3_Out_Coins</vt:lpstr>
      <vt:lpstr>P3_Out_Deduct</vt:lpstr>
      <vt:lpstr>P3_Out_ER</vt:lpstr>
      <vt:lpstr>P3_Out_FamMult</vt:lpstr>
      <vt:lpstr>P3_Out_IP_Hosp_Copay</vt:lpstr>
      <vt:lpstr>P3_Out_LabMax</vt:lpstr>
      <vt:lpstr>P3_Out_Maternity_IP_Copay</vt:lpstr>
      <vt:lpstr>P3_Out_OOPMax</vt:lpstr>
      <vt:lpstr>P3_Out_OP_Surgery_Copay</vt:lpstr>
      <vt:lpstr>P3_Out_OV</vt:lpstr>
      <vt:lpstr>P3_Out_OVCoins</vt:lpstr>
      <vt:lpstr>P3_Out_Rx1</vt:lpstr>
      <vt:lpstr>P3_Out_Rx2</vt:lpstr>
      <vt:lpstr>P3_Out_Rx3</vt:lpstr>
      <vt:lpstr>P3_Plan</vt:lpstr>
      <vt:lpstr>Physical_Office</vt:lpstr>
      <vt:lpstr>Physical_XrayLab</vt:lpstr>
      <vt:lpstr>Primary_Office</vt:lpstr>
      <vt:lpstr>Primary_XrayLab</vt:lpstr>
      <vt:lpstr>'Plan Comparison Calculator'!Print_Area</vt:lpstr>
      <vt:lpstr>Specialist_Office</vt:lpstr>
      <vt:lpstr>Specialist_XrayLab</vt:lpstr>
      <vt:lpstr>Surgery_Facility</vt:lpstr>
      <vt:lpstr>Surgery_Physician</vt:lpstr>
      <vt:lpstr>Surgery_XrayLab</vt:lpstr>
      <vt:lpstr>Visits</vt:lpstr>
      <vt:lpstr>Xray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WS32</dc:creator>
  <cp:lastModifiedBy>Windows User</cp:lastModifiedBy>
  <cp:lastPrinted>2018-03-13T20:29:58Z</cp:lastPrinted>
  <dcterms:created xsi:type="dcterms:W3CDTF">2010-01-15T23:14:27Z</dcterms:created>
  <dcterms:modified xsi:type="dcterms:W3CDTF">2018-03-23T16:52:37Z</dcterms:modified>
</cp:coreProperties>
</file>