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tudent Folder\MY DOCUMENTS\Projects for Aileen\Forms Docs 2019-2020 for website\"/>
    </mc:Choice>
  </mc:AlternateContent>
  <bookViews>
    <workbookView xWindow="0" yWindow="0" windowWidth="28800" windowHeight="12300"/>
  </bookViews>
  <sheets>
    <sheet name="Plan Comparison Calculator" sheetId="1" r:id="rId1"/>
    <sheet name="OOP Calc" sheetId="2" state="veryHidden" r:id="rId2"/>
    <sheet name="Plan Defn" sheetId="3" state="veryHidden" r:id="rId3"/>
    <sheet name="Base Costs" sheetId="4" state="veryHidden" r:id="rId4"/>
    <sheet name="Drop Down Parameters" sheetId="5" state="veryHidden" r:id="rId5"/>
  </sheets>
  <definedNames>
    <definedName name="Baby_Facility">'Base Costs'!$E$8</definedName>
    <definedName name="Baby_Physician">'Base Costs'!$F$8</definedName>
    <definedName name="CatScan">'Base Costs'!$D$24</definedName>
    <definedName name="Coverage">'Plan Defn'!$A$35:$A$40</definedName>
    <definedName name="EE_Phys">'Drop Down Parameters'!$C$8:$C$9</definedName>
    <definedName name="EEPhys">'Drop Down Parameters'!$C$8</definedName>
    <definedName name="Employee_CostShare">'Plan Defn'!$A$35:$E$40</definedName>
    <definedName name="ER">'Base Costs'!$E$18</definedName>
    <definedName name="ER_IP">'Base Costs'!$E$18</definedName>
    <definedName name="Error">'Plan Comparison Calculator'!$R$14</definedName>
    <definedName name="Formulary">'Drop Down Parameters'!$A$21:$A$30</definedName>
    <definedName name="FSA_Contribution">'Plan Defn'!$E$44:$E$49</definedName>
    <definedName name="Generic">'Drop Down Parameters'!$A$8:$A$17</definedName>
    <definedName name="HSA_Contribution">'Plan Defn'!$A$44:$B$49</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Calculator'!$B$2:$L$59</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Calculator'!$B$2:$L$59</definedName>
    <definedName name="Z_8FCA42AA_6BA7_4AC9_AD93_66FC46E49A7F_.wvu.Rows" localSheetId="0" hidden="1">'Plan Comparison Calculator'!$51:$51</definedName>
  </definedNames>
  <calcPr calcId="179017"/>
</workbook>
</file>

<file path=xl/calcChain.xml><?xml version="1.0" encoding="utf-8"?>
<calcChain xmlns="http://schemas.openxmlformats.org/spreadsheetml/2006/main">
  <c r="L36" i="3" l="1"/>
  <c r="N36" i="3"/>
  <c r="M36" i="3"/>
  <c r="L37" i="3"/>
  <c r="N37" i="3"/>
  <c r="M37" i="3"/>
  <c r="L39" i="3"/>
  <c r="N39" i="3"/>
  <c r="M39" i="3"/>
  <c r="N40" i="3"/>
  <c r="M35" i="3"/>
  <c r="N35" i="3"/>
  <c r="L35" i="3"/>
  <c r="E40" i="3"/>
  <c r="M40" i="3" s="1"/>
  <c r="E38" i="3"/>
  <c r="M38" i="3" s="1"/>
  <c r="C40" i="3"/>
  <c r="C38" i="3"/>
  <c r="N38" i="3" s="1"/>
  <c r="B40" i="3"/>
  <c r="L40" i="3" s="1"/>
  <c r="B38" i="3"/>
  <c r="L38" i="3" s="1"/>
  <c r="B45" i="3"/>
  <c r="B47" i="3" s="1"/>
  <c r="B48" i="3" l="1"/>
  <c r="B49" i="3"/>
  <c r="B46" i="3"/>
  <c r="G47" i="1" l="1"/>
  <c r="I37" i="3" l="1"/>
  <c r="I38" i="3"/>
  <c r="I39" i="3"/>
  <c r="I40" i="3"/>
  <c r="I36" i="3"/>
  <c r="J37" i="3" s="1"/>
  <c r="K208" i="2"/>
  <c r="E128" i="2"/>
  <c r="C136" i="2"/>
  <c r="E136" i="2" s="1"/>
  <c r="C138" i="2"/>
  <c r="E138" i="2" s="1"/>
  <c r="G128" i="2"/>
  <c r="G134" i="2"/>
  <c r="G136" i="2"/>
  <c r="G138" i="2"/>
  <c r="G142" i="2"/>
  <c r="G144" i="2"/>
  <c r="G146" i="2"/>
  <c r="G150" i="2"/>
  <c r="I128" i="2"/>
  <c r="C140" i="2"/>
  <c r="I140" i="2" s="1"/>
  <c r="C148" i="2"/>
  <c r="I148" i="2" s="1"/>
  <c r="C150" i="2"/>
  <c r="I150" i="2" s="1"/>
  <c r="K128" i="2"/>
  <c r="K148" i="2"/>
  <c r="K150" i="2"/>
  <c r="AE128" i="2"/>
  <c r="Y140" i="2"/>
  <c r="AE140" i="2" s="1"/>
  <c r="Y148" i="2"/>
  <c r="AE148" i="2" s="1"/>
  <c r="Y150" i="2"/>
  <c r="AE150" i="2" s="1"/>
  <c r="AG128" i="2"/>
  <c r="AG148" i="2"/>
  <c r="AG150" i="2"/>
  <c r="AE2" i="2"/>
  <c r="Y136" i="2"/>
  <c r="AA136" i="2" s="1"/>
  <c r="Y138" i="2"/>
  <c r="AA138" i="2" s="1"/>
  <c r="AC134" i="2"/>
  <c r="AC136" i="2"/>
  <c r="AC138" i="2"/>
  <c r="AC142" i="2"/>
  <c r="AC144" i="2"/>
  <c r="AC146" i="2"/>
  <c r="AC150" i="2"/>
  <c r="T2" i="2"/>
  <c r="N136" i="2"/>
  <c r="P136" i="2" s="1"/>
  <c r="N138" i="2"/>
  <c r="P138" i="2" s="1"/>
  <c r="P128" i="2"/>
  <c r="R128" i="2"/>
  <c r="R134" i="2"/>
  <c r="R136" i="2"/>
  <c r="R138" i="2"/>
  <c r="R142" i="2"/>
  <c r="R144" i="2"/>
  <c r="R146" i="2"/>
  <c r="R150" i="2"/>
  <c r="N140" i="2"/>
  <c r="T140" i="2" s="1"/>
  <c r="N148" i="2"/>
  <c r="T148" i="2" s="1"/>
  <c r="N150" i="2"/>
  <c r="T150" i="2" s="1"/>
  <c r="T128" i="2"/>
  <c r="V148" i="2"/>
  <c r="V150" i="2"/>
  <c r="V128" i="2"/>
  <c r="C128" i="2"/>
  <c r="C134" i="2"/>
  <c r="N134" i="2"/>
  <c r="N128" i="2"/>
  <c r="Y134" i="2"/>
  <c r="C157" i="2"/>
  <c r="C158" i="2"/>
  <c r="C159" i="2"/>
  <c r="E241" i="2"/>
  <c r="E239" i="2"/>
  <c r="J11" i="1"/>
  <c r="K17" i="1"/>
  <c r="K19" i="1"/>
  <c r="K21" i="1"/>
  <c r="K23" i="1"/>
  <c r="K25" i="1"/>
  <c r="K27" i="1"/>
  <c r="K29" i="1"/>
  <c r="K31" i="1"/>
  <c r="K33" i="1"/>
  <c r="E238" i="2"/>
  <c r="G49" i="1"/>
  <c r="N76" i="2"/>
  <c r="P76" i="2" s="1"/>
  <c r="N78" i="2"/>
  <c r="P78" i="2" s="1"/>
  <c r="P68" i="2"/>
  <c r="R68" i="2"/>
  <c r="R74" i="2"/>
  <c r="R76" i="2"/>
  <c r="R78" i="2"/>
  <c r="R82" i="2"/>
  <c r="R84" i="2"/>
  <c r="R86" i="2"/>
  <c r="R90" i="2"/>
  <c r="N80" i="2"/>
  <c r="T80" i="2" s="1"/>
  <c r="N88" i="2"/>
  <c r="T88" i="2" s="1"/>
  <c r="N90" i="2"/>
  <c r="T90" i="2" s="1"/>
  <c r="T68" i="2"/>
  <c r="V88" i="2"/>
  <c r="V90" i="2"/>
  <c r="V68" i="2"/>
  <c r="Q76" i="2"/>
  <c r="Q78" i="2"/>
  <c r="Q68" i="2"/>
  <c r="S68" i="2"/>
  <c r="S74" i="2"/>
  <c r="S76" i="2"/>
  <c r="S78" i="2"/>
  <c r="S82" i="2"/>
  <c r="S84" i="2"/>
  <c r="S86" i="2"/>
  <c r="S90" i="2"/>
  <c r="U80" i="2"/>
  <c r="U88" i="2"/>
  <c r="U90" i="2"/>
  <c r="U68" i="2"/>
  <c r="W88" i="2"/>
  <c r="W90" i="2"/>
  <c r="W68" i="2"/>
  <c r="AE68" i="2"/>
  <c r="Y80" i="2"/>
  <c r="AE80" i="2" s="1"/>
  <c r="Y88" i="2"/>
  <c r="AE88" i="2" s="1"/>
  <c r="Y90" i="2"/>
  <c r="AE90" i="2" s="1"/>
  <c r="AG68" i="2"/>
  <c r="AG88" i="2"/>
  <c r="AG90" i="2"/>
  <c r="Y76" i="2"/>
  <c r="AA76" i="2" s="1"/>
  <c r="Y78" i="2"/>
  <c r="AA78" i="2" s="1"/>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s="1"/>
  <c r="C78" i="2"/>
  <c r="G68" i="2"/>
  <c r="G74" i="2"/>
  <c r="G76" i="2"/>
  <c r="G78" i="2"/>
  <c r="G82" i="2"/>
  <c r="G84" i="2"/>
  <c r="G86" i="2"/>
  <c r="G90" i="2"/>
  <c r="I68" i="2"/>
  <c r="C80" i="2"/>
  <c r="I80" i="2" s="1"/>
  <c r="C88" i="2"/>
  <c r="I88" i="2" s="1"/>
  <c r="C90" i="2"/>
  <c r="I90" i="2" s="1"/>
  <c r="K68" i="2"/>
  <c r="K88" i="2"/>
  <c r="K90" i="2"/>
  <c r="F68" i="2"/>
  <c r="F76" i="2"/>
  <c r="F78" i="2"/>
  <c r="H68" i="2"/>
  <c r="H74" i="2"/>
  <c r="H76" i="2"/>
  <c r="H78" i="2"/>
  <c r="H82" i="2"/>
  <c r="H84" i="2"/>
  <c r="H86" i="2"/>
  <c r="H90" i="2"/>
  <c r="J68" i="2"/>
  <c r="J80" i="2"/>
  <c r="J88" i="2"/>
  <c r="J90" i="2"/>
  <c r="L68" i="2"/>
  <c r="L88" i="2"/>
  <c r="L90" i="2"/>
  <c r="C68" i="2"/>
  <c r="C74" i="2"/>
  <c r="E74" i="2" s="1"/>
  <c r="N74" i="2"/>
  <c r="P74" i="2" s="1"/>
  <c r="N68" i="2"/>
  <c r="Y74" i="2"/>
  <c r="AA74" i="2" s="1"/>
  <c r="C97" i="2"/>
  <c r="C98" i="2"/>
  <c r="C99" i="2"/>
  <c r="E121" i="2"/>
  <c r="E119" i="2"/>
  <c r="E118" i="2"/>
  <c r="J49" i="1"/>
  <c r="E181" i="2"/>
  <c r="E179" i="2"/>
  <c r="E178" i="2"/>
  <c r="I49" i="1"/>
  <c r="G50" i="1"/>
  <c r="E180" i="2"/>
  <c r="Y196" i="2"/>
  <c r="AA196" i="2" s="1"/>
  <c r="Y198" i="2"/>
  <c r="AA198" i="2" s="1"/>
  <c r="AC194" i="2"/>
  <c r="AC196" i="2"/>
  <c r="AC198" i="2"/>
  <c r="AC202" i="2"/>
  <c r="AC204" i="2"/>
  <c r="AC206" i="2"/>
  <c r="AC210" i="2"/>
  <c r="Y200" i="2"/>
  <c r="AE200" i="2" s="1"/>
  <c r="Y208" i="2"/>
  <c r="AE208" i="2" s="1"/>
  <c r="Y210" i="2"/>
  <c r="AE210" i="2" s="1"/>
  <c r="AE188" i="2"/>
  <c r="AG208" i="2"/>
  <c r="AG210" i="2"/>
  <c r="AG188" i="2"/>
  <c r="C196" i="2"/>
  <c r="E196" i="2" s="1"/>
  <c r="C198" i="2"/>
  <c r="E198" i="2" s="1"/>
  <c r="E188" i="2"/>
  <c r="G188" i="2"/>
  <c r="G194" i="2"/>
  <c r="G196" i="2"/>
  <c r="G198" i="2"/>
  <c r="G202" i="2"/>
  <c r="G204" i="2"/>
  <c r="G206" i="2"/>
  <c r="G210" i="2"/>
  <c r="C200" i="2"/>
  <c r="I200" i="2" s="1"/>
  <c r="C208" i="2"/>
  <c r="I208" i="2" s="1"/>
  <c r="C210" i="2"/>
  <c r="I210" i="2" s="1"/>
  <c r="I188" i="2"/>
  <c r="K210" i="2"/>
  <c r="K188" i="2"/>
  <c r="N196" i="2"/>
  <c r="P196" i="2" s="1"/>
  <c r="N198" i="2"/>
  <c r="P198" i="2" s="1"/>
  <c r="P188" i="2"/>
  <c r="R188" i="2"/>
  <c r="R194" i="2"/>
  <c r="R196" i="2"/>
  <c r="R198" i="2"/>
  <c r="R202" i="2"/>
  <c r="R204" i="2"/>
  <c r="R206" i="2"/>
  <c r="R210" i="2"/>
  <c r="N200" i="2"/>
  <c r="T200" i="2" s="1"/>
  <c r="N208" i="2"/>
  <c r="T208" i="2" s="1"/>
  <c r="N210" i="2"/>
  <c r="T210" i="2" s="1"/>
  <c r="T188" i="2"/>
  <c r="V208" i="2"/>
  <c r="V210" i="2"/>
  <c r="V188" i="2"/>
  <c r="E243" i="2"/>
  <c r="E242" i="2"/>
  <c r="E240" i="2"/>
  <c r="N194" i="2"/>
  <c r="P194" i="2" s="1"/>
  <c r="N188" i="2"/>
  <c r="C219" i="2"/>
  <c r="C218" i="2"/>
  <c r="C217" i="2"/>
  <c r="C194" i="2"/>
  <c r="C188" i="2"/>
  <c r="A198" i="2"/>
  <c r="Y194" i="2"/>
  <c r="AA194" i="2" s="1"/>
  <c r="E182" i="2"/>
  <c r="E183" i="2"/>
  <c r="E120" i="2"/>
  <c r="E122" i="2"/>
  <c r="E123" i="2"/>
  <c r="E53" i="3"/>
  <c r="E52" i="3"/>
  <c r="C56" i="3"/>
  <c r="C54" i="3"/>
  <c r="C53" i="3"/>
  <c r="C52" i="3"/>
  <c r="Z74" i="2"/>
  <c r="AB74" i="2"/>
  <c r="O74" i="2"/>
  <c r="Q74" i="2"/>
  <c r="D74" i="2"/>
  <c r="AG8" i="2"/>
  <c r="AE8" i="2"/>
  <c r="E56" i="3"/>
  <c r="B56" i="3"/>
  <c r="E54" i="3"/>
  <c r="B54" i="3"/>
  <c r="B53" i="3"/>
  <c r="B52" i="3"/>
  <c r="Y14" i="2"/>
  <c r="AA14" i="2" s="1"/>
  <c r="N14" i="2"/>
  <c r="P14" i="2" s="1"/>
  <c r="C14" i="2"/>
  <c r="E14" i="2" s="1"/>
  <c r="D80" i="2"/>
  <c r="J47" i="1"/>
  <c r="I47" i="1"/>
  <c r="C16" i="2"/>
  <c r="E16" i="2" s="1"/>
  <c r="C18" i="2"/>
  <c r="E18" i="2" s="1"/>
  <c r="E8" i="2"/>
  <c r="G8" i="2"/>
  <c r="G14" i="2"/>
  <c r="G16" i="2"/>
  <c r="G18" i="2"/>
  <c r="G22" i="2"/>
  <c r="G24" i="2"/>
  <c r="G26" i="2"/>
  <c r="G30" i="2"/>
  <c r="C20" i="2"/>
  <c r="I20" i="2" s="1"/>
  <c r="C28" i="2"/>
  <c r="I28" i="2" s="1"/>
  <c r="C30" i="2"/>
  <c r="I30" i="2" s="1"/>
  <c r="I8" i="2"/>
  <c r="K28" i="2"/>
  <c r="K30" i="2"/>
  <c r="K8" i="2"/>
  <c r="N16" i="2"/>
  <c r="P16" i="2" s="1"/>
  <c r="N18" i="2"/>
  <c r="P18" i="2" s="1"/>
  <c r="P8" i="2"/>
  <c r="R8" i="2"/>
  <c r="R14" i="2"/>
  <c r="R16" i="2"/>
  <c r="R18" i="2"/>
  <c r="R22" i="2"/>
  <c r="R24" i="2"/>
  <c r="R26" i="2"/>
  <c r="R30" i="2"/>
  <c r="N20" i="2"/>
  <c r="T20" i="2" s="1"/>
  <c r="N28" i="2"/>
  <c r="T28" i="2" s="1"/>
  <c r="N30" i="2"/>
  <c r="T30" i="2" s="1"/>
  <c r="T8" i="2"/>
  <c r="V28" i="2"/>
  <c r="V30" i="2"/>
  <c r="V8" i="2"/>
  <c r="Y16" i="2"/>
  <c r="AA16" i="2" s="1"/>
  <c r="Y18" i="2"/>
  <c r="AA18" i="2" s="1"/>
  <c r="AC14" i="2"/>
  <c r="AC16" i="2"/>
  <c r="AC18" i="2"/>
  <c r="AC22" i="2"/>
  <c r="AC24" i="2"/>
  <c r="AC26" i="2"/>
  <c r="AC30" i="2"/>
  <c r="Y20" i="2"/>
  <c r="AE20" i="2" s="1"/>
  <c r="Y28" i="2"/>
  <c r="AE28" i="2" s="1"/>
  <c r="Y30" i="2"/>
  <c r="AE30" i="2" s="1"/>
  <c r="AG28" i="2"/>
  <c r="AG30" i="2"/>
  <c r="C37" i="2"/>
  <c r="C38" i="2"/>
  <c r="C39" i="2"/>
  <c r="C8" i="2"/>
  <c r="N8" i="2"/>
  <c r="D88" i="2"/>
  <c r="O80" i="2"/>
  <c r="O88" i="2"/>
  <c r="Z80" i="2"/>
  <c r="Z88" i="2"/>
  <c r="F74" i="2"/>
  <c r="D76" i="2"/>
  <c r="D78" i="2"/>
  <c r="D90" i="2"/>
  <c r="D68" i="2"/>
  <c r="O76" i="2"/>
  <c r="O78" i="2"/>
  <c r="O90" i="2"/>
  <c r="O68" i="2"/>
  <c r="Z76" i="2"/>
  <c r="Z78" i="2"/>
  <c r="Z90" i="2"/>
  <c r="A10" i="2"/>
  <c r="A78" i="2"/>
  <c r="A138" i="2"/>
  <c r="B34" i="3"/>
  <c r="C34" i="3"/>
  <c r="E34"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J38" i="3" l="1"/>
  <c r="Y154" i="2"/>
  <c r="P34" i="2"/>
  <c r="AA134" i="2"/>
  <c r="AG34" i="2"/>
  <c r="Z94" i="2"/>
  <c r="N94" i="2"/>
  <c r="P214" i="2"/>
  <c r="C41" i="2"/>
  <c r="C101" i="2"/>
  <c r="L121" i="2" s="1"/>
  <c r="AA154" i="2"/>
  <c r="AA34" i="2"/>
  <c r="C221" i="2"/>
  <c r="R214" i="2"/>
  <c r="C94" i="2"/>
  <c r="I214" i="2"/>
  <c r="C34" i="2"/>
  <c r="C45" i="2" s="1"/>
  <c r="Y165" i="2"/>
  <c r="V34" i="2"/>
  <c r="K34" i="2"/>
  <c r="T214" i="2"/>
  <c r="AG214" i="2"/>
  <c r="G94" i="2"/>
  <c r="AH94" i="2"/>
  <c r="AA94" i="2"/>
  <c r="S94" i="2"/>
  <c r="Q94" i="2"/>
  <c r="P94" i="2"/>
  <c r="AC154" i="2"/>
  <c r="R34" i="2"/>
  <c r="F94" i="2"/>
  <c r="I94" i="2"/>
  <c r="U94" i="2"/>
  <c r="AE154" i="2"/>
  <c r="AC34" i="2"/>
  <c r="AB94" i="2"/>
  <c r="T34" i="2"/>
  <c r="I34" i="2"/>
  <c r="E34" i="2"/>
  <c r="V214" i="2"/>
  <c r="G214" i="2"/>
  <c r="AA214" i="2"/>
  <c r="H94" i="2"/>
  <c r="V154" i="2"/>
  <c r="T154" i="2"/>
  <c r="P154" i="2"/>
  <c r="E154" i="2"/>
  <c r="AD94" i="2"/>
  <c r="E214" i="2"/>
  <c r="AC214" i="2"/>
  <c r="AE94" i="2"/>
  <c r="W94" i="2"/>
  <c r="V94" i="2"/>
  <c r="AG154" i="2"/>
  <c r="K154" i="2"/>
  <c r="G154" i="2"/>
  <c r="T94" i="2"/>
  <c r="AF94" i="2"/>
  <c r="J94" i="2"/>
  <c r="G34" i="2"/>
  <c r="Y94" i="2"/>
  <c r="Y34" i="2"/>
  <c r="Y45" i="2" s="1"/>
  <c r="AE214" i="2"/>
  <c r="L94" i="2"/>
  <c r="AC94" i="2"/>
  <c r="R94" i="2"/>
  <c r="R154" i="2"/>
  <c r="O94" i="2"/>
  <c r="K94" i="2"/>
  <c r="R14" i="1"/>
  <c r="C161" i="2"/>
  <c r="L181" i="2" s="1"/>
  <c r="P134" i="2"/>
  <c r="N154" i="2"/>
  <c r="N165" i="2" s="1"/>
  <c r="N34" i="2"/>
  <c r="N214" i="2"/>
  <c r="N225" i="2" s="1"/>
  <c r="Y214" i="2"/>
  <c r="Y225" i="2" s="1"/>
  <c r="AE34" i="2"/>
  <c r="D94" i="2"/>
  <c r="E194" i="2"/>
  <c r="C214" i="2"/>
  <c r="K214" i="2"/>
  <c r="E78" i="2"/>
  <c r="E94" i="2" s="1"/>
  <c r="AG94" i="2"/>
  <c r="C154" i="2"/>
  <c r="E134" i="2"/>
  <c r="N45" i="2"/>
  <c r="I154" i="2"/>
  <c r="C105" i="2" l="1"/>
  <c r="N105" i="2"/>
  <c r="Y48" i="2"/>
  <c r="N109" i="2"/>
  <c r="N228" i="2"/>
  <c r="N226" i="2"/>
  <c r="N231" i="2" s="1"/>
  <c r="Y166" i="2"/>
  <c r="Y171" i="2" s="1"/>
  <c r="Y106" i="2"/>
  <c r="Y168" i="2"/>
  <c r="C226" i="2"/>
  <c r="C231" i="2" s="1"/>
  <c r="C166" i="2"/>
  <c r="C171" i="2" s="1"/>
  <c r="C107" i="2"/>
  <c r="N108" i="2"/>
  <c r="N48" i="2"/>
  <c r="C48" i="2"/>
  <c r="C46" i="2"/>
  <c r="C51" i="2" s="1"/>
  <c r="N107" i="2"/>
  <c r="Y226" i="2"/>
  <c r="Y231" i="2" s="1"/>
  <c r="C228" i="2"/>
  <c r="N166" i="2"/>
  <c r="N171" i="2" s="1"/>
  <c r="N106" i="2"/>
  <c r="N112" i="2" s="1"/>
  <c r="Y109" i="2"/>
  <c r="Y108" i="2"/>
  <c r="N46" i="2"/>
  <c r="N51" i="2" s="1"/>
  <c r="Y46" i="2"/>
  <c r="Y51" i="2" s="1"/>
  <c r="Y228" i="2"/>
  <c r="Y107" i="2"/>
  <c r="C108" i="2"/>
  <c r="C106" i="2"/>
  <c r="C165" i="2"/>
  <c r="L180" i="2"/>
  <c r="L240" i="2"/>
  <c r="C225" i="2"/>
  <c r="N168" i="2"/>
  <c r="C109" i="2"/>
  <c r="C168" i="2"/>
  <c r="Y105" i="2"/>
  <c r="L120" i="2"/>
  <c r="Y234" i="2" l="1"/>
  <c r="N111" i="2"/>
  <c r="N114" i="2" s="1"/>
  <c r="N234" i="2"/>
  <c r="Y54" i="2"/>
  <c r="N115" i="2"/>
  <c r="Y174" i="2"/>
  <c r="V238" i="2"/>
  <c r="L238" i="2" s="1"/>
  <c r="C222" i="2"/>
  <c r="Y111" i="2"/>
  <c r="Y114" i="2" s="1"/>
  <c r="C174" i="2"/>
  <c r="V178" i="2"/>
  <c r="L178" i="2" s="1"/>
  <c r="C54" i="2"/>
  <c r="N54" i="2"/>
  <c r="N174" i="2"/>
  <c r="Y112" i="2"/>
  <c r="Y115" i="2" s="1"/>
  <c r="V58" i="2"/>
  <c r="C111" i="2"/>
  <c r="C112" i="2"/>
  <c r="C234" i="2"/>
  <c r="V181" i="2" l="1"/>
  <c r="L179" i="2" s="1"/>
  <c r="F180" i="2" s="1"/>
  <c r="D180" i="2" s="1"/>
  <c r="V241" i="2"/>
  <c r="L239" i="2" s="1"/>
  <c r="V118" i="2"/>
  <c r="L118" i="2" s="1"/>
  <c r="V61" i="2"/>
  <c r="C223" i="2"/>
  <c r="L241" i="2" s="1"/>
  <c r="V119" i="2"/>
  <c r="C114" i="2"/>
  <c r="V121" i="2" s="1"/>
  <c r="L119" i="2" s="1"/>
  <c r="C115" i="2"/>
  <c r="V122" i="2" s="1"/>
  <c r="F183" i="2" l="1"/>
  <c r="D183" i="2" s="1"/>
  <c r="F178" i="2"/>
  <c r="D178" i="2" s="1"/>
  <c r="F182" i="2"/>
  <c r="D182" i="2" s="1"/>
  <c r="F181" i="2"/>
  <c r="D181" i="2" s="1"/>
  <c r="F179" i="2"/>
  <c r="D179" i="2" s="1"/>
  <c r="F242" i="2"/>
  <c r="D242" i="2" s="1"/>
  <c r="F119" i="2"/>
  <c r="D119" i="2" s="1"/>
  <c r="F238" i="2"/>
  <c r="D238" i="2" s="1"/>
  <c r="F243" i="2"/>
  <c r="D243" i="2" s="1"/>
  <c r="F240" i="2"/>
  <c r="D240" i="2" s="1"/>
  <c r="F239" i="2"/>
  <c r="D239" i="2" s="1"/>
  <c r="F241" i="2"/>
  <c r="D241" i="2" s="1"/>
  <c r="F123" i="2"/>
  <c r="D123" i="2" s="1"/>
  <c r="F118" i="2"/>
  <c r="D118" i="2" s="1"/>
  <c r="F120" i="2"/>
  <c r="D120" i="2" s="1"/>
  <c r="F121" i="2"/>
  <c r="D121" i="2" s="1"/>
  <c r="F122" i="2"/>
  <c r="D122" i="2" s="1"/>
  <c r="I48" i="1" l="1"/>
  <c r="I54" i="1" s="1"/>
  <c r="G48" i="1"/>
  <c r="G54" i="1" s="1"/>
  <c r="J48" i="1"/>
  <c r="I51" i="1" l="1"/>
  <c r="J54" i="1"/>
</calcChain>
</file>

<file path=xl/sharedStrings.xml><?xml version="1.0" encoding="utf-8"?>
<sst xmlns="http://schemas.openxmlformats.org/spreadsheetml/2006/main" count="599" uniqueCount="141">
  <si>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</si>
  <si>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</si>
  <si>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</si>
  <si>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</si>
  <si>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</si>
  <si>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</si>
  <si>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</si>
  <si>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</si>
  <si>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</si>
  <si>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</si>
  <si>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</si>
  <si>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</si>
  <si>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</si>
  <si>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</si>
  <si>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</si>
  <si>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</si>
  <si>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</si>
  <si>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</si>
  <si>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</si>
  <si>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</si>
  <si>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</si>
  <si>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</si>
  <si>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</si>
  <si>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</si>
  <si>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</si>
  <si>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</si>
  <si>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</si>
  <si>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</si>
  <si>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</si>
  <si>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</si>
  <si>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</si>
  <si>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</si>
  <si>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</si>
  <si>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</si>
  <si>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</si>
  <si>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</si>
  <si>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</si>
  <si>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</si>
  <si>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</si>
  <si>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</si>
  <si>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</si>
  <si>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</si>
  <si>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</si>
  <si>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</si>
  <si>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</si>
  <si>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</si>
  <si>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</si>
  <si>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</si>
  <si>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</si>
  <si>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</si>
  <si>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</si>
  <si>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</si>
  <si>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</si>
  <si>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</si>
  <si>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</si>
  <si>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</si>
  <si>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</si>
  <si>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</si>
  <si>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</si>
  <si>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</si>
  <si>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</si>
  <si>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</si>
  <si>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</si>
  <si>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</si>
  <si>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</si>
  <si>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</si>
  <si>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</si>
  <si>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</si>
  <si>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</si>
  <si>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</si>
  <si>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</si>
  <si>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</si>
  <si>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</si>
  <si>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</si>
  <si>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</si>
  <si>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</si>
  <si>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</si>
  <si>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</si>
  <si>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</si>
  <si>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</si>
  <si>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</si>
  <si>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</si>
  <si>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</si>
  <si>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</si>
  <si>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</si>
  <si>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</si>
  <si>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</si>
  <si>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</si>
  <si>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</si>
  <si>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</si>
  <si>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</si>
  <si>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</si>
  <si>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</si>
  <si>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</si>
  <si>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</si>
  <si>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</si>
  <si>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</si>
  <si>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</si>
  <si>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</si>
  <si>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</si>
  <si>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</si>
  <si>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</si>
  <si>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</si>
  <si>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</si>
  <si>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</si>
  <si>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</si>
  <si>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</si>
  <si>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</si>
  <si>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</si>
  <si>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</si>
  <si>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</si>
  <si>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</si>
  <si>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</si>
  <si>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c) less Employer HSA Contribution</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</si>
  <si>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</si>
  <si>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</si>
  <si>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</si>
  <si>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</si>
  <si>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</si>
  <si>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</si>
  <si>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</si>
  <si>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</si>
  <si>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</si>
  <si>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</si>
  <si>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</si>
  <si>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</si>
  <si>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</si>
  <si>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</si>
  <si>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</si>
  <si>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</si>
  <si>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</si>
  <si>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</si>
  <si>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</si>
  <si>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Essentials/Core</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</si>
  <si>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</si>
  <si>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</si>
  <si>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</si>
  <si>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</si>
  <si>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</si>
  <si>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</si>
  <si>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PLU Medical Plan Cost Comparison Estimator: 2019-20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</si>
</sst>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7"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56">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1" fillId="0" borderId="0" xfId="0" applyFont="1" applyBorder="1"/>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11" fillId="0" borderId="0" xfId="3" applyFont="1" applyAlignment="1">
      <alignment horizontal="center"/>
    </xf>
    <xf numFmtId="43" fontId="11" fillId="0" borderId="0" xfId="3" applyFont="1" applyFill="1" applyAlignment="1">
      <alignment horizontal="center"/>
    </xf>
    <xf numFmtId="43" fontId="11" fillId="0" borderId="0" xfId="3" applyFont="1"/>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19" fillId="3" borderId="0" xfId="0" applyFont="1" applyFill="1" applyAlignment="1">
      <alignment horizontal="center" vertical="center" textRotation="90"/>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wrapText="1"/>
    </xf>
    <xf numFmtId="9" fontId="17" fillId="3" borderId="0" xfId="2" applyFont="1" applyFill="1" applyAlignment="1">
      <alignment horizontal="center"/>
    </xf>
    <xf numFmtId="0" fontId="17" fillId="0" borderId="0" xfId="0" applyFont="1" applyAlignment="1">
      <alignment horizontal="left"/>
    </xf>
    <xf numFmtId="0" fontId="13"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X61"/>
  <sheetViews>
    <sheetView showGridLines="0" tabSelected="1" zoomScale="80" zoomScaleNormal="80" workbookViewId="0">
      <selection activeCell="F5" sqref="F5:I5"/>
    </sheetView>
  </sheetViews>
  <sheetFormatPr defaultColWidth="9.140625" defaultRowHeight="12.75" x14ac:dyDescent="0.2"/>
  <cols>
    <col min="1" max="1" width="4.7109375" style="1" customWidth="1"/>
    <col min="2" max="2" width="3.28515625" style="1" customWidth="1"/>
    <col min="3" max="3" width="32.7109375" style="1" customWidth="1"/>
    <col min="4" max="4" width="22.28515625" style="1" customWidth="1"/>
    <col min="5" max="5" width="25.28515625" style="1" customWidth="1"/>
    <col min="6" max="6" width="31.7109375" style="7" bestFit="1" customWidth="1"/>
    <col min="7" max="7" width="15.42578125" style="1" customWidth="1"/>
    <col min="8" max="8" width="2.5703125" style="1" customWidth="1"/>
    <col min="9" max="9" width="18.7109375" style="1" bestFit="1" customWidth="1"/>
    <col min="10" max="10" width="16.7109375" style="1" customWidth="1"/>
    <col min="11" max="11" width="23" style="1" customWidth="1"/>
    <col min="12" max="12" width="5.5703125" style="1" customWidth="1"/>
    <col min="13" max="14" width="5.28515625" style="1" customWidth="1"/>
    <col min="15" max="18" width="15.28515625" style="2" customWidth="1"/>
    <col min="19" max="19" width="5.28515625" style="1" customWidth="1"/>
    <col min="20" max="24" width="13.28515625" style="2" customWidth="1"/>
    <col min="25" max="25" width="3" style="1" customWidth="1"/>
    <col min="26" max="30" width="13.28515625" style="1" customWidth="1"/>
    <col min="31" max="31" width="2.85546875" style="1" customWidth="1"/>
    <col min="32" max="36" width="13.28515625" style="1" customWidth="1"/>
    <col min="37" max="16384" width="9.140625" style="1"/>
  </cols>
  <sheetData>
    <row r="1" spans="2:24" s="211" customFormat="1" ht="60" x14ac:dyDescent="0.8">
      <c r="B1" s="220" t="s">
        <v>124</v>
      </c>
      <c r="C1" s="220"/>
      <c r="D1" s="220"/>
      <c r="E1" s="220"/>
      <c r="F1" s="220"/>
      <c r="G1" s="220"/>
      <c r="H1" s="220"/>
      <c r="I1" s="220"/>
      <c r="J1" s="220"/>
      <c r="K1" s="220"/>
      <c r="L1" s="220"/>
      <c r="O1" s="212"/>
      <c r="P1" s="212"/>
      <c r="Q1" s="212"/>
      <c r="R1" s="212"/>
      <c r="T1" s="212"/>
      <c r="U1" s="212"/>
      <c r="V1" s="212"/>
      <c r="W1" s="212"/>
      <c r="X1" s="212"/>
    </row>
    <row r="2" spans="2:24" ht="27.75" customHeight="1" x14ac:dyDescent="0.4">
      <c r="B2" s="223" t="s">
        <v>140</v>
      </c>
      <c r="C2" s="223"/>
      <c r="D2" s="223"/>
      <c r="E2" s="223"/>
      <c r="F2" s="223"/>
      <c r="G2" s="223"/>
      <c r="H2" s="223"/>
      <c r="I2" s="223"/>
      <c r="J2" s="223"/>
      <c r="K2" s="223"/>
      <c r="L2" s="223"/>
    </row>
    <row r="3" spans="2:24" ht="22.5" customHeight="1" x14ac:dyDescent="0.4">
      <c r="B3" s="3"/>
      <c r="C3" s="4"/>
      <c r="D3" s="4"/>
      <c r="E3" s="4"/>
      <c r="F3" s="4"/>
      <c r="G3" s="4"/>
      <c r="H3" s="4"/>
      <c r="I3" s="4"/>
      <c r="J3" s="236"/>
      <c r="K3" s="236"/>
      <c r="L3" s="236"/>
      <c r="O3"/>
    </row>
    <row r="4" spans="2:24" ht="23.25" x14ac:dyDescent="0.35">
      <c r="B4" s="5" t="s">
        <v>0</v>
      </c>
      <c r="C4" s="5"/>
      <c r="D4" s="6"/>
      <c r="E4" s="6"/>
    </row>
    <row r="5" spans="2:24" ht="18.75" customHeight="1" x14ac:dyDescent="0.2">
      <c r="B5" s="3"/>
      <c r="C5" s="3" t="s">
        <v>115</v>
      </c>
      <c r="D5" s="3"/>
      <c r="E5" s="3"/>
      <c r="F5" s="237" t="s">
        <v>1</v>
      </c>
      <c r="G5" s="237"/>
      <c r="H5" s="237"/>
      <c r="I5" s="237"/>
    </row>
    <row r="6" spans="2:24" ht="8.25" customHeight="1" thickBot="1" x14ac:dyDescent="0.25">
      <c r="B6" s="3"/>
      <c r="C6" s="3"/>
      <c r="D6" s="3"/>
      <c r="E6" s="3"/>
    </row>
    <row r="7" spans="2:24" ht="5.0999999999999996" customHeight="1" x14ac:dyDescent="0.2">
      <c r="B7" s="8"/>
      <c r="C7" s="9"/>
      <c r="D7" s="9"/>
      <c r="E7" s="9"/>
      <c r="F7" s="10"/>
      <c r="G7" s="9"/>
      <c r="H7" s="9"/>
      <c r="I7" s="9"/>
      <c r="J7" s="9"/>
      <c r="K7" s="9"/>
      <c r="L7" s="11"/>
    </row>
    <row r="8" spans="2:24" s="18" customFormat="1" ht="23.25" x14ac:dyDescent="0.35">
      <c r="B8" s="12" t="s">
        <v>128</v>
      </c>
      <c r="C8" s="13"/>
      <c r="D8" s="13"/>
      <c r="E8" s="13"/>
      <c r="F8" s="14"/>
      <c r="G8" s="15"/>
      <c r="H8" s="15"/>
      <c r="I8" s="16"/>
      <c r="J8" s="16"/>
      <c r="K8" s="14"/>
      <c r="L8" s="17"/>
    </row>
    <row r="9" spans="2:24" s="23" customFormat="1" ht="4.5" customHeight="1" x14ac:dyDescent="0.2">
      <c r="B9" s="19"/>
      <c r="C9" s="20"/>
      <c r="D9" s="20"/>
      <c r="E9" s="20"/>
      <c r="F9" s="21"/>
      <c r="G9" s="20"/>
      <c r="H9" s="20"/>
      <c r="I9" s="20"/>
      <c r="J9" s="20"/>
      <c r="K9" s="20"/>
      <c r="L9" s="22"/>
    </row>
    <row r="10" spans="2:24" s="23" customFormat="1" ht="15" thickBot="1" x14ac:dyDescent="0.25">
      <c r="B10" s="19"/>
      <c r="C10" s="20"/>
      <c r="D10" s="20"/>
      <c r="E10" s="20"/>
      <c r="F10" s="24" t="s">
        <v>2</v>
      </c>
      <c r="G10" s="238" t="s">
        <v>3</v>
      </c>
      <c r="H10" s="238"/>
      <c r="I10" s="25" t="s">
        <v>4</v>
      </c>
      <c r="J10" s="20"/>
      <c r="K10" s="20"/>
      <c r="L10" s="22"/>
    </row>
    <row r="11" spans="2:24" s="23" customFormat="1" ht="15.75" thickBot="1" x14ac:dyDescent="0.3">
      <c r="B11" s="226" t="s">
        <v>5</v>
      </c>
      <c r="C11" s="227"/>
      <c r="D11" s="227"/>
      <c r="E11" s="227"/>
      <c r="F11" s="206" t="s">
        <v>8</v>
      </c>
      <c r="G11" s="240"/>
      <c r="H11" s="235"/>
      <c r="I11" s="207"/>
      <c r="J11" s="231" t="str">
        <f>IF(AND(I11&lt;&gt;FALSE,VLOOKUP(F5,'Plan Defn'!A35:H40,7,FALSE)=0),"Error - Spouse Not Listed as Eligible","")</f>
        <v/>
      </c>
      <c r="K11" s="232"/>
      <c r="L11" s="233"/>
    </row>
    <row r="12" spans="2:24" s="23" customFormat="1" ht="14.1" customHeight="1" x14ac:dyDescent="0.2">
      <c r="B12" s="226"/>
      <c r="C12" s="227"/>
      <c r="D12" s="227"/>
      <c r="E12" s="227"/>
      <c r="F12" s="24"/>
      <c r="G12" s="24"/>
      <c r="H12" s="24"/>
      <c r="I12" s="24"/>
      <c r="J12" s="24"/>
      <c r="K12" s="24"/>
      <c r="L12" s="22"/>
      <c r="Q12" s="26"/>
    </row>
    <row r="13" spans="2:24" s="23" customFormat="1" ht="5.25" customHeight="1" x14ac:dyDescent="0.2">
      <c r="B13" s="19"/>
      <c r="C13" s="20"/>
      <c r="D13" s="20"/>
      <c r="E13" s="20"/>
      <c r="F13" s="24"/>
      <c r="G13" s="24"/>
      <c r="H13" s="24"/>
      <c r="I13" s="24"/>
      <c r="J13" s="24"/>
      <c r="K13" s="24"/>
      <c r="L13" s="22"/>
      <c r="R13" s="159" t="s">
        <v>91</v>
      </c>
    </row>
    <row r="14" spans="2:24" s="23" customFormat="1" ht="32.25" customHeight="1" x14ac:dyDescent="0.25">
      <c r="B14" s="226" t="s">
        <v>138</v>
      </c>
      <c r="C14" s="227"/>
      <c r="D14" s="227"/>
      <c r="E14" s="227"/>
      <c r="F14" s="227"/>
      <c r="G14" s="227"/>
      <c r="H14" s="227"/>
      <c r="I14" s="227"/>
      <c r="J14" s="227"/>
      <c r="K14" s="227"/>
      <c r="L14" s="228"/>
      <c r="P14" s="3"/>
      <c r="R14" s="159">
        <f>IF(AND(J11="",K17="",K19="",K21="",K23="",K25="",K27="",K29="",K31="",K33=""),1,0)</f>
        <v>1</v>
      </c>
    </row>
    <row r="15" spans="2:24" s="23" customFormat="1" ht="6" customHeight="1" x14ac:dyDescent="0.2">
      <c r="B15" s="19"/>
      <c r="C15" s="20"/>
      <c r="D15" s="20"/>
      <c r="E15" s="20"/>
      <c r="F15" s="24"/>
      <c r="G15" s="24"/>
      <c r="H15" s="24"/>
      <c r="I15" s="24"/>
      <c r="J15" s="24"/>
      <c r="K15" s="24"/>
      <c r="L15" s="22"/>
    </row>
    <row r="16" spans="2:24" s="23" customFormat="1" ht="14.85" customHeight="1" thickBot="1" x14ac:dyDescent="0.25">
      <c r="B16" s="19"/>
      <c r="C16" s="20"/>
      <c r="D16" s="20"/>
      <c r="E16" s="20"/>
      <c r="F16" s="24" t="s">
        <v>2</v>
      </c>
      <c r="G16" s="239" t="s">
        <v>3</v>
      </c>
      <c r="H16" s="239"/>
      <c r="I16" s="25" t="s">
        <v>4</v>
      </c>
      <c r="J16" s="25" t="s">
        <v>7</v>
      </c>
      <c r="K16" s="24"/>
      <c r="L16" s="22"/>
    </row>
    <row r="17" spans="2:12" s="23" customFormat="1" ht="16.5" thickBot="1" x14ac:dyDescent="0.3">
      <c r="B17" s="19"/>
      <c r="C17" s="13" t="s">
        <v>116</v>
      </c>
      <c r="D17" s="20"/>
      <c r="E17" s="20"/>
      <c r="F17" s="206" t="s">
        <v>8</v>
      </c>
      <c r="G17" s="234">
        <v>0</v>
      </c>
      <c r="H17" s="235"/>
      <c r="I17" s="209">
        <v>0</v>
      </c>
      <c r="J17" s="209">
        <v>0</v>
      </c>
      <c r="K17" s="161" t="str">
        <f>IF(AND(VLOOKUP(F$5,'Plan Defn'!A$35:H$40,7,FALSE)=0,'Plan Comparison Calculator'!I17&gt;0),"Error - Check Spouse/Child Enrollment",IF(AND(VLOOKUP(F$5,'Plan Defn'!A$35:H$40,8,FALSE)=0,'Plan Comparison Calculator'!J17&gt;0),"Error - Check Spouse/Child Enrollment",""))</f>
        <v/>
      </c>
      <c r="L17" s="162"/>
    </row>
    <row r="18" spans="2:12" s="23" customFormat="1" ht="5.25" customHeight="1" thickBot="1" x14ac:dyDescent="0.25">
      <c r="B18" s="19"/>
      <c r="C18" s="13"/>
      <c r="D18" s="20"/>
      <c r="E18" s="21"/>
      <c r="F18" s="27"/>
      <c r="G18" s="21"/>
      <c r="H18" s="21"/>
      <c r="I18" s="21"/>
      <c r="J18" s="21"/>
      <c r="K18" s="27"/>
      <c r="L18" s="22"/>
    </row>
    <row r="19" spans="2:12" s="23" customFormat="1" ht="16.5" thickBot="1" x14ac:dyDescent="0.3">
      <c r="B19" s="19"/>
      <c r="C19" s="13" t="s">
        <v>117</v>
      </c>
      <c r="D19" s="20"/>
      <c r="E19" s="20"/>
      <c r="F19" s="206" t="s">
        <v>8</v>
      </c>
      <c r="G19" s="234">
        <v>0</v>
      </c>
      <c r="H19" s="235"/>
      <c r="I19" s="209">
        <v>0</v>
      </c>
      <c r="J19" s="209">
        <v>0</v>
      </c>
      <c r="K19" s="160" t="str">
        <f>IF(AND(VLOOKUP(F$5,'Plan Defn'!A$35:H$40,7,FALSE)=0,'Plan Comparison Calculator'!I19&gt;0),"Error - Check Spouse/Child Enrollment",IF(AND(VLOOKUP(F$5,'Plan Defn'!A$35:H$40,8,FALSE)=0,'Plan Comparison Calculator'!J19&gt;0),"Error - Check Spouse/Child Enrollment",""))</f>
        <v/>
      </c>
      <c r="L19" s="22"/>
    </row>
    <row r="20" spans="2:12" s="23" customFormat="1" ht="5.25" customHeight="1" thickBot="1" x14ac:dyDescent="0.25">
      <c r="B20" s="19"/>
      <c r="C20" s="13"/>
      <c r="D20" s="20"/>
      <c r="E20" s="21"/>
      <c r="F20" s="27"/>
      <c r="G20" s="21"/>
      <c r="H20" s="21"/>
      <c r="I20" s="21"/>
      <c r="J20" s="21"/>
      <c r="K20" s="27"/>
      <c r="L20" s="22"/>
    </row>
    <row r="21" spans="2:12" s="23" customFormat="1" ht="16.5" thickBot="1" x14ac:dyDescent="0.3">
      <c r="B21" s="19"/>
      <c r="C21" s="13" t="s">
        <v>118</v>
      </c>
      <c r="D21" s="20"/>
      <c r="E21" s="20"/>
      <c r="F21" s="206" t="s">
        <v>8</v>
      </c>
      <c r="G21" s="234">
        <v>0</v>
      </c>
      <c r="H21" s="235"/>
      <c r="I21" s="209">
        <v>0</v>
      </c>
      <c r="J21" s="209">
        <v>0</v>
      </c>
      <c r="K21" s="160" t="str">
        <f>IF(AND(VLOOKUP(F$5,'Plan Defn'!A$35:H$40,7,FALSE)=0,'Plan Comparison Calculator'!I21&gt;0),"Error - Check Spouse/Child Enrollment",IF(AND(VLOOKUP(F$5,'Plan Defn'!A$35:H$40,8,FALSE)=0,'Plan Comparison Calculator'!J21&gt;0),"Error - Check Spouse/Child Enrollment",""))</f>
        <v/>
      </c>
      <c r="L21" s="22"/>
    </row>
    <row r="22" spans="2:12" s="23" customFormat="1" ht="5.25" customHeight="1" thickBot="1" x14ac:dyDescent="0.25">
      <c r="B22" s="19"/>
      <c r="C22" s="13"/>
      <c r="D22" s="20"/>
      <c r="E22" s="21"/>
      <c r="F22" s="27"/>
      <c r="G22" s="21">
        <v>0</v>
      </c>
      <c r="H22" s="21"/>
      <c r="I22" s="21"/>
      <c r="J22" s="21"/>
      <c r="K22" s="24"/>
      <c r="L22" s="22"/>
    </row>
    <row r="23" spans="2:12" s="23" customFormat="1" ht="16.5" thickBot="1" x14ac:dyDescent="0.3">
      <c r="B23" s="19"/>
      <c r="C23" s="13" t="s">
        <v>119</v>
      </c>
      <c r="D23" s="20"/>
      <c r="E23" s="20"/>
      <c r="F23" s="206" t="s">
        <v>8</v>
      </c>
      <c r="G23" s="234">
        <v>0</v>
      </c>
      <c r="H23" s="235"/>
      <c r="I23" s="209">
        <v>0</v>
      </c>
      <c r="J23" s="209">
        <v>0</v>
      </c>
      <c r="K23" s="160" t="str">
        <f>IF(AND(VLOOKUP(F$5,'Plan Defn'!A$35:H$40,7,FALSE)=0,'Plan Comparison Calculator'!I23&gt;0),"Error - Check Spouse/Child Enrollment",IF(AND(VLOOKUP(F$5,'Plan Defn'!A$35:H$40,8,FALSE)=0,'Plan Comparison Calculator'!J23&gt;0),"Error - Check Spouse/Child Enrollment",""))</f>
        <v/>
      </c>
      <c r="L23" s="22"/>
    </row>
    <row r="24" spans="2:12" s="23" customFormat="1" ht="5.25" customHeight="1" thickBot="1" x14ac:dyDescent="0.25">
      <c r="B24" s="19"/>
      <c r="C24" s="13"/>
      <c r="D24" s="20"/>
      <c r="E24" s="20"/>
      <c r="F24" s="27"/>
      <c r="G24" s="21"/>
      <c r="H24" s="21"/>
      <c r="I24" s="21"/>
      <c r="J24" s="21"/>
      <c r="K24" s="24"/>
      <c r="L24" s="22"/>
    </row>
    <row r="25" spans="2:12" s="23" customFormat="1" ht="16.5" thickBot="1" x14ac:dyDescent="0.3">
      <c r="B25" s="19"/>
      <c r="C25" s="13" t="s">
        <v>120</v>
      </c>
      <c r="D25" s="20"/>
      <c r="E25" s="20"/>
      <c r="F25" s="206" t="s">
        <v>8</v>
      </c>
      <c r="G25" s="234">
        <v>0</v>
      </c>
      <c r="H25" s="235"/>
      <c r="I25" s="209">
        <v>0</v>
      </c>
      <c r="J25" s="209">
        <v>0</v>
      </c>
      <c r="K25" s="160" t="str">
        <f>IF(AND(VLOOKUP(F$5,'Plan Defn'!A$35:H$40,7,FALSE)=0,'Plan Comparison Calculator'!I25&gt;0),"Error - Check Spouse/Child Enrollment",IF(AND(VLOOKUP(F$5,'Plan Defn'!A$35:H$40,8,FALSE)=0,'Plan Comparison Calculator'!J25&gt;0),"Error - Check Spouse/Child Enrollment",""))</f>
        <v/>
      </c>
      <c r="L25" s="22"/>
    </row>
    <row r="26" spans="2:12" s="23" customFormat="1" ht="5.25" customHeight="1" thickBot="1" x14ac:dyDescent="0.25">
      <c r="B26" s="19"/>
      <c r="C26" s="13"/>
      <c r="D26" s="20"/>
      <c r="E26" s="20"/>
      <c r="F26" s="27"/>
      <c r="G26" s="21"/>
      <c r="H26" s="21"/>
      <c r="I26" s="21"/>
      <c r="J26" s="21"/>
      <c r="K26" s="24"/>
      <c r="L26" s="22"/>
    </row>
    <row r="27" spans="2:12" s="23" customFormat="1" ht="16.5" thickBot="1" x14ac:dyDescent="0.3">
      <c r="B27" s="19"/>
      <c r="C27" s="13" t="s">
        <v>121</v>
      </c>
      <c r="D27" s="20"/>
      <c r="E27" s="20"/>
      <c r="F27" s="206" t="s">
        <v>8</v>
      </c>
      <c r="G27" s="234">
        <v>0</v>
      </c>
      <c r="H27" s="235"/>
      <c r="I27" s="209">
        <v>0</v>
      </c>
      <c r="J27" s="209">
        <v>0</v>
      </c>
      <c r="K27" s="160" t="str">
        <f>IF(AND(VLOOKUP(F$5,'Plan Defn'!A$35:H$40,7,FALSE)=0,'Plan Comparison Calculator'!I27&gt;0),"Error - Check Spouse/Child Enrollment",IF(AND(VLOOKUP(F$5,'Plan Defn'!A$35:H$40,8,FALSE)=0,'Plan Comparison Calculator'!J27&gt;0),"Error - Check Spouse/Child Enrollment",""))</f>
        <v/>
      </c>
      <c r="L27" s="22"/>
    </row>
    <row r="28" spans="2:12" s="23" customFormat="1" ht="5.25" customHeight="1" thickBot="1" x14ac:dyDescent="0.25">
      <c r="B28" s="19"/>
      <c r="C28" s="13"/>
      <c r="D28" s="20"/>
      <c r="E28" s="20"/>
      <c r="F28" s="27"/>
      <c r="G28" s="21"/>
      <c r="H28" s="21"/>
      <c r="I28" s="21"/>
      <c r="J28" s="21"/>
      <c r="K28" s="24"/>
      <c r="L28" s="22"/>
    </row>
    <row r="29" spans="2:12" s="23" customFormat="1" ht="16.5" thickBot="1" x14ac:dyDescent="0.3">
      <c r="B29" s="19"/>
      <c r="C29" s="13" t="s">
        <v>122</v>
      </c>
      <c r="D29" s="20"/>
      <c r="E29" s="20"/>
      <c r="F29" s="206" t="s">
        <v>8</v>
      </c>
      <c r="G29" s="234">
        <v>0</v>
      </c>
      <c r="H29" s="235"/>
      <c r="I29" s="209">
        <v>0</v>
      </c>
      <c r="J29" s="209">
        <v>0</v>
      </c>
      <c r="K29" s="160" t="str">
        <f>IF(AND(VLOOKUP(F$5,'Plan Defn'!A$35:H$40,7,FALSE)=0,'Plan Comparison Calculator'!I29&gt;0),"Error - Check Spouse/Child Enrollment",IF(AND(VLOOKUP(F$5,'Plan Defn'!A$35:H$40,8,FALSE)=0,'Plan Comparison Calculator'!J29&gt;0),"Error - Check Spouse/Child Enrollment",""))</f>
        <v/>
      </c>
      <c r="L29" s="22"/>
    </row>
    <row r="30" spans="2:12" s="23" customFormat="1" ht="5.25" customHeight="1" thickBot="1" x14ac:dyDescent="0.25">
      <c r="B30" s="19"/>
      <c r="C30" s="13"/>
      <c r="D30" s="20"/>
      <c r="E30" s="20"/>
      <c r="F30" s="27"/>
      <c r="G30" s="21"/>
      <c r="H30" s="21"/>
      <c r="I30" s="21"/>
      <c r="J30" s="21"/>
      <c r="K30" s="24"/>
      <c r="L30" s="22"/>
    </row>
    <row r="31" spans="2:12" s="23" customFormat="1" ht="16.5" thickBot="1" x14ac:dyDescent="0.3">
      <c r="B31" s="19"/>
      <c r="C31" s="13" t="s">
        <v>123</v>
      </c>
      <c r="D31" s="20"/>
      <c r="E31" s="20"/>
      <c r="F31" s="206" t="s">
        <v>8</v>
      </c>
      <c r="G31" s="234">
        <v>0</v>
      </c>
      <c r="H31" s="235"/>
      <c r="I31" s="209">
        <v>0</v>
      </c>
      <c r="J31" s="209">
        <v>0</v>
      </c>
      <c r="K31" s="160" t="str">
        <f>IF(AND(VLOOKUP(F$5,'Plan Defn'!A$35:H$40,7,FALSE)=0,'Plan Comparison Calculator'!I31&gt;0),"Error - Check Spouse/Child Enrollment",IF(AND(VLOOKUP(F$5,'Plan Defn'!A$35:H$40,8,FALSE)=0,'Plan Comparison Calculator'!J31&gt;0),"Error - Check Spouse/Child Enrollment",""))</f>
        <v/>
      </c>
      <c r="L31" s="22"/>
    </row>
    <row r="32" spans="2:12" s="23" customFormat="1" ht="5.25" customHeight="1" thickBot="1" x14ac:dyDescent="0.25">
      <c r="B32" s="19"/>
      <c r="C32" s="13"/>
      <c r="D32" s="20"/>
      <c r="E32" s="20"/>
      <c r="F32" s="27"/>
      <c r="G32" s="21"/>
      <c r="H32" s="21"/>
      <c r="I32" s="21"/>
      <c r="J32" s="21"/>
      <c r="K32" s="24"/>
      <c r="L32" s="22"/>
    </row>
    <row r="33" spans="2:12" s="23" customFormat="1" ht="16.5" thickBot="1" x14ac:dyDescent="0.3">
      <c r="B33" s="19"/>
      <c r="C33" s="13" t="s">
        <v>137</v>
      </c>
      <c r="D33" s="20"/>
      <c r="E33" s="20"/>
      <c r="F33" s="206" t="s">
        <v>8</v>
      </c>
      <c r="G33" s="234">
        <v>0</v>
      </c>
      <c r="H33" s="235"/>
      <c r="I33" s="209">
        <v>0</v>
      </c>
      <c r="J33" s="209">
        <v>0</v>
      </c>
      <c r="K33" s="160" t="str">
        <f>IF(AND(VLOOKUP(F$5,'Plan Defn'!A$35:H$40,7,FALSE)=0,'Plan Comparison Calculator'!I33&gt;0),"Error - Check Spouse/Child Enrollment",IF(AND(VLOOKUP(F$5,'Plan Defn'!A$35:H$40,8,FALSE)=0,'Plan Comparison Calculator'!J33&gt;0),"Error - Check Spouse/Child Enrollment",""))</f>
        <v/>
      </c>
      <c r="L33" s="22"/>
    </row>
    <row r="34" spans="2:12" s="23" customFormat="1" ht="5.25" customHeight="1" x14ac:dyDescent="0.2">
      <c r="B34" s="19"/>
      <c r="C34" s="20"/>
      <c r="D34" s="20"/>
      <c r="E34" s="20"/>
      <c r="F34" s="24"/>
      <c r="G34" s="20"/>
      <c r="H34" s="20"/>
      <c r="I34" s="20"/>
      <c r="J34" s="20" t="s">
        <v>9</v>
      </c>
      <c r="K34" s="24"/>
      <c r="L34" s="22"/>
    </row>
    <row r="35" spans="2:12" s="23" customFormat="1" ht="23.25" x14ac:dyDescent="0.35">
      <c r="B35" s="12" t="s">
        <v>129</v>
      </c>
      <c r="C35" s="20"/>
      <c r="D35" s="20"/>
      <c r="E35" s="20"/>
      <c r="F35" s="27"/>
      <c r="G35" s="25"/>
      <c r="H35" s="25"/>
      <c r="I35" s="25"/>
      <c r="J35" s="20"/>
      <c r="K35" s="27"/>
      <c r="L35" s="22"/>
    </row>
    <row r="36" spans="2:12" s="23" customFormat="1" ht="5.25" customHeight="1" x14ac:dyDescent="0.2">
      <c r="B36" s="19"/>
      <c r="C36" s="20"/>
      <c r="D36" s="20"/>
      <c r="E36" s="20"/>
      <c r="F36" s="24"/>
      <c r="G36" s="20"/>
      <c r="H36" s="20"/>
      <c r="I36" s="20"/>
      <c r="J36" s="20"/>
      <c r="K36" s="24"/>
      <c r="L36" s="22"/>
    </row>
    <row r="37" spans="2:12" s="23" customFormat="1" ht="14.1" customHeight="1" x14ac:dyDescent="0.25">
      <c r="B37" s="194" t="s">
        <v>127</v>
      </c>
      <c r="C37" s="195"/>
      <c r="D37" s="195"/>
      <c r="E37" s="195"/>
      <c r="F37" s="196"/>
      <c r="G37" s="197"/>
      <c r="H37" s="197"/>
      <c r="I37" s="197"/>
      <c r="J37" s="195"/>
      <c r="K37" s="196"/>
      <c r="L37" s="208"/>
    </row>
    <row r="38" spans="2:12" s="23" customFormat="1" ht="30.75" customHeight="1" thickBot="1" x14ac:dyDescent="0.25">
      <c r="B38" s="19"/>
      <c r="C38" s="13" t="s">
        <v>10</v>
      </c>
      <c r="D38" s="20"/>
      <c r="E38" s="24" t="s">
        <v>2</v>
      </c>
      <c r="F38" s="213" t="s">
        <v>126</v>
      </c>
      <c r="G38" s="229" t="s">
        <v>135</v>
      </c>
      <c r="H38" s="229"/>
      <c r="I38" s="229"/>
      <c r="J38" s="229"/>
      <c r="K38" s="229"/>
      <c r="L38" s="230"/>
    </row>
    <row r="39" spans="2:12" s="23" customFormat="1" ht="13.5" customHeight="1" thickBot="1" x14ac:dyDescent="0.25">
      <c r="B39" s="19"/>
      <c r="C39" s="28" t="s">
        <v>11</v>
      </c>
      <c r="D39" s="20"/>
      <c r="E39" s="210" t="s">
        <v>8</v>
      </c>
      <c r="F39" s="209"/>
      <c r="G39" s="229"/>
      <c r="H39" s="229"/>
      <c r="I39" s="229"/>
      <c r="J39" s="229"/>
      <c r="K39" s="229"/>
      <c r="L39" s="230"/>
    </row>
    <row r="40" spans="2:12" s="23" customFormat="1" ht="14.1" customHeight="1" thickBot="1" x14ac:dyDescent="0.25">
      <c r="B40" s="19"/>
      <c r="C40" s="28" t="s">
        <v>12</v>
      </c>
      <c r="D40" s="20"/>
      <c r="E40" s="210" t="s">
        <v>8</v>
      </c>
      <c r="F40" s="209"/>
      <c r="G40" s="229"/>
      <c r="H40" s="229"/>
      <c r="I40" s="229"/>
      <c r="J40" s="229"/>
      <c r="K40" s="229"/>
      <c r="L40" s="230"/>
    </row>
    <row r="41" spans="2:12" s="23" customFormat="1" ht="14.1" customHeight="1" thickBot="1" x14ac:dyDescent="0.25">
      <c r="B41" s="19"/>
      <c r="C41" s="28" t="s">
        <v>13</v>
      </c>
      <c r="D41" s="20"/>
      <c r="E41" s="210" t="s">
        <v>8</v>
      </c>
      <c r="F41" s="209"/>
      <c r="G41" s="229"/>
      <c r="H41" s="229"/>
      <c r="I41" s="229"/>
      <c r="J41" s="229"/>
      <c r="K41" s="229"/>
      <c r="L41" s="230"/>
    </row>
    <row r="42" spans="2:12" s="23" customFormat="1" ht="5.25" customHeight="1" x14ac:dyDescent="0.2">
      <c r="B42" s="19"/>
      <c r="C42" s="20"/>
      <c r="D42" s="20"/>
      <c r="E42" s="20"/>
      <c r="F42" s="24"/>
      <c r="G42" s="229"/>
      <c r="H42" s="229"/>
      <c r="I42" s="229"/>
      <c r="J42" s="229"/>
      <c r="K42" s="229"/>
      <c r="L42" s="230"/>
    </row>
    <row r="43" spans="2:12" s="18" customFormat="1" ht="5.25" customHeight="1" x14ac:dyDescent="0.25">
      <c r="B43" s="29"/>
      <c r="C43" s="13"/>
      <c r="D43" s="13"/>
      <c r="E43" s="13"/>
      <c r="F43" s="30"/>
      <c r="G43" s="31"/>
      <c r="H43" s="31"/>
      <c r="I43" s="30"/>
      <c r="J43" s="31"/>
      <c r="K43" s="32"/>
      <c r="L43" s="33"/>
    </row>
    <row r="44" spans="2:12" s="23" customFormat="1" ht="5.25" customHeight="1" x14ac:dyDescent="0.2">
      <c r="B44" s="34"/>
      <c r="C44" s="35"/>
      <c r="D44" s="35"/>
      <c r="E44" s="35"/>
      <c r="F44" s="36"/>
      <c r="G44" s="36"/>
      <c r="H44" s="36"/>
      <c r="I44" s="36"/>
      <c r="J44" s="36"/>
      <c r="K44" s="36"/>
      <c r="L44" s="37"/>
    </row>
    <row r="45" spans="2:12" s="23" customFormat="1" ht="5.25" customHeight="1" x14ac:dyDescent="0.2">
      <c r="B45" s="19"/>
      <c r="C45" s="20"/>
      <c r="D45" s="20"/>
      <c r="E45" s="20"/>
      <c r="F45" s="24"/>
      <c r="G45" s="24"/>
      <c r="H45" s="24"/>
      <c r="I45" s="24"/>
      <c r="J45" s="24"/>
      <c r="K45" s="24"/>
      <c r="L45" s="22"/>
    </row>
    <row r="46" spans="2:12" s="23" customFormat="1" ht="15.75" x14ac:dyDescent="0.25">
      <c r="B46" s="19"/>
      <c r="C46" s="20"/>
      <c r="D46" s="20"/>
      <c r="E46" s="20"/>
      <c r="F46" s="24"/>
      <c r="G46" s="214" t="s">
        <v>131</v>
      </c>
      <c r="H46" s="24"/>
      <c r="I46" s="214" t="s">
        <v>131</v>
      </c>
      <c r="J46" s="214" t="s">
        <v>131</v>
      </c>
      <c r="L46" s="22"/>
    </row>
    <row r="47" spans="2:12" s="39" customFormat="1" ht="23.25" x14ac:dyDescent="0.35">
      <c r="B47" s="12" t="s">
        <v>130</v>
      </c>
      <c r="C47" s="38"/>
      <c r="D47" s="38"/>
      <c r="E47" s="38"/>
      <c r="G47" s="16" t="str">
        <f>P1_Plan</f>
        <v>HSA HMO</v>
      </c>
      <c r="H47" s="16"/>
      <c r="I47" s="16" t="str">
        <f>P3_Plan</f>
        <v>Essentials/Core</v>
      </c>
      <c r="J47" s="16" t="str">
        <f>P2_Plan</f>
        <v>Access PPO</v>
      </c>
      <c r="L47" s="40"/>
    </row>
    <row r="48" spans="2:12" s="42" customFormat="1" ht="15.75" x14ac:dyDescent="0.25">
      <c r="B48" s="41"/>
      <c r="C48" s="13" t="s">
        <v>14</v>
      </c>
      <c r="D48" s="20"/>
      <c r="E48" s="20"/>
      <c r="G48" s="215">
        <f>VLOOKUP($F$5,'OOP Calc'!$C$238:$D$243,2,FALSE)*Error</f>
        <v>0</v>
      </c>
      <c r="H48" s="44"/>
      <c r="I48" s="217">
        <f>VLOOKUP($F$5,'OOP Calc'!$C$178:$D$183,2,FALSE)*Error</f>
        <v>0</v>
      </c>
      <c r="J48" s="215">
        <f>VLOOKUP($F$5,'OOP Calc'!$C$118:$D$123,2,FALSE)*Error</f>
        <v>0</v>
      </c>
      <c r="L48" s="43"/>
    </row>
    <row r="49" spans="2:24" s="42" customFormat="1" ht="15.75" x14ac:dyDescent="0.25">
      <c r="B49" s="41"/>
      <c r="C49" s="13" t="s">
        <v>103</v>
      </c>
      <c r="D49" s="20"/>
      <c r="E49" s="20"/>
      <c r="G49" s="216">
        <f>VLOOKUP($F$5,Employee_CostShare,2,FALSE)*12</f>
        <v>204</v>
      </c>
      <c r="H49" s="44"/>
      <c r="I49" s="216">
        <f>VLOOKUP($F$5,Employee_CostShare,5,FALSE)*12</f>
        <v>264</v>
      </c>
      <c r="J49" s="216">
        <f>VLOOKUP($F$5,Employee_CostShare,3,FALSE)*12</f>
        <v>768</v>
      </c>
      <c r="L49" s="43"/>
    </row>
    <row r="50" spans="2:24" s="42" customFormat="1" ht="18" customHeight="1" x14ac:dyDescent="0.25">
      <c r="B50" s="41"/>
      <c r="C50" s="13" t="s">
        <v>113</v>
      </c>
      <c r="D50" s="20"/>
      <c r="E50" s="20"/>
      <c r="G50" s="215">
        <f>-VLOOKUP($F$5,HSA_Contribution,2,FALSE)</f>
        <v>-780</v>
      </c>
      <c r="H50" s="45"/>
      <c r="I50" s="218" t="s">
        <v>105</v>
      </c>
      <c r="J50" s="218" t="s">
        <v>105</v>
      </c>
      <c r="L50" s="43"/>
    </row>
    <row r="51" spans="2:24" s="42" customFormat="1" ht="3" customHeight="1" x14ac:dyDescent="0.25">
      <c r="B51" s="41" t="s">
        <v>15</v>
      </c>
      <c r="C51" s="20"/>
      <c r="D51" s="20"/>
      <c r="E51" s="20"/>
      <c r="H51" s="45"/>
      <c r="I51" s="45">
        <f>SUM(J48:J49)</f>
        <v>768</v>
      </c>
      <c r="J51" s="45"/>
      <c r="L51" s="43"/>
    </row>
    <row r="52" spans="2:24" s="23" customFormat="1" ht="5.25" customHeight="1" thickBot="1" x14ac:dyDescent="0.3">
      <c r="B52" s="46"/>
      <c r="C52" s="47"/>
      <c r="D52" s="47"/>
      <c r="E52" s="47"/>
      <c r="F52" s="48"/>
      <c r="G52" s="48"/>
      <c r="H52" s="48"/>
      <c r="I52" s="48"/>
      <c r="J52" s="48"/>
      <c r="K52" s="39"/>
      <c r="L52" s="49"/>
    </row>
    <row r="53" spans="2:24" s="23" customFormat="1" ht="5.25" customHeight="1" thickBot="1" x14ac:dyDescent="0.25">
      <c r="B53" s="50"/>
      <c r="C53" s="50"/>
      <c r="D53" s="50"/>
      <c r="E53" s="50"/>
      <c r="F53" s="51"/>
      <c r="G53" s="51"/>
      <c r="H53" s="51"/>
      <c r="I53" s="51"/>
      <c r="J53" s="51"/>
      <c r="K53" s="51"/>
      <c r="L53" s="50"/>
    </row>
    <row r="54" spans="2:24" s="39" customFormat="1" ht="27" customHeight="1" x14ac:dyDescent="0.35">
      <c r="B54" s="198" t="s">
        <v>16</v>
      </c>
      <c r="C54" s="199"/>
      <c r="D54" s="200"/>
      <c r="E54" s="200"/>
      <c r="F54" s="201"/>
      <c r="G54" s="219">
        <f>SUM(G48:G50)</f>
        <v>-576</v>
      </c>
      <c r="H54" s="202"/>
      <c r="I54" s="219">
        <f>SUM(I48:I50)</f>
        <v>264</v>
      </c>
      <c r="J54" s="219">
        <f>SUM(J48:J50)</f>
        <v>768</v>
      </c>
      <c r="K54" s="202"/>
      <c r="L54" s="191"/>
    </row>
    <row r="55" spans="2:24" s="23" customFormat="1" ht="27" customHeight="1" thickBot="1" x14ac:dyDescent="0.3">
      <c r="B55" s="203"/>
      <c r="C55" s="204" t="s">
        <v>125</v>
      </c>
      <c r="D55" s="204"/>
      <c r="E55" s="204"/>
      <c r="F55" s="205"/>
      <c r="G55" s="205"/>
      <c r="H55" s="205"/>
      <c r="I55" s="205"/>
      <c r="J55" s="205"/>
      <c r="K55" s="192"/>
      <c r="L55" s="193"/>
    </row>
    <row r="56" spans="2:24" s="23" customFormat="1" ht="5.25" customHeight="1" x14ac:dyDescent="0.2">
      <c r="B56" s="157"/>
      <c r="C56" s="20"/>
      <c r="D56" s="20"/>
      <c r="E56" s="20"/>
      <c r="F56" s="52"/>
      <c r="G56" s="52"/>
      <c r="H56" s="52"/>
      <c r="I56" s="52"/>
      <c r="J56" s="52"/>
      <c r="K56" s="52"/>
      <c r="L56" s="20"/>
      <c r="M56" s="20"/>
    </row>
    <row r="57" spans="2:24" s="53" customFormat="1" ht="44.25" customHeight="1" x14ac:dyDescent="0.2">
      <c r="B57" s="225" t="s">
        <v>134</v>
      </c>
      <c r="C57" s="225"/>
      <c r="D57" s="225"/>
      <c r="E57" s="225"/>
      <c r="F57" s="225"/>
      <c r="G57" s="225"/>
      <c r="H57" s="225"/>
      <c r="I57" s="225"/>
      <c r="J57" s="225"/>
      <c r="K57" s="225"/>
      <c r="L57" s="225"/>
    </row>
    <row r="58" spans="2:24" s="53" customFormat="1" ht="62.25" customHeight="1" x14ac:dyDescent="0.2">
      <c r="B58" s="221" t="s">
        <v>136</v>
      </c>
      <c r="C58" s="222"/>
      <c r="D58" s="222"/>
      <c r="E58" s="222"/>
      <c r="F58" s="222"/>
      <c r="G58" s="222"/>
      <c r="H58" s="222"/>
      <c r="I58" s="222"/>
      <c r="J58" s="222"/>
      <c r="K58" s="222"/>
      <c r="L58" s="222"/>
      <c r="O58" s="56"/>
      <c r="P58" s="56"/>
      <c r="Q58" s="56"/>
      <c r="R58" s="56"/>
      <c r="T58" s="56"/>
      <c r="U58" s="56"/>
      <c r="V58" s="56"/>
      <c r="W58" s="56"/>
      <c r="X58" s="56"/>
    </row>
    <row r="59" spans="2:24" s="53" customFormat="1" ht="38.25" customHeight="1" x14ac:dyDescent="0.25">
      <c r="B59" s="224" t="s">
        <v>139</v>
      </c>
      <c r="C59" s="224"/>
      <c r="D59" s="224"/>
      <c r="E59" s="224"/>
      <c r="F59" s="224"/>
      <c r="G59" s="224"/>
      <c r="H59" s="224"/>
      <c r="I59" s="224"/>
      <c r="J59" s="224"/>
      <c r="K59" s="224"/>
      <c r="L59" s="224"/>
      <c r="O59" s="56"/>
      <c r="P59" s="56"/>
      <c r="Q59" s="56"/>
      <c r="R59" s="56"/>
      <c r="T59" s="56"/>
      <c r="U59" s="56"/>
      <c r="V59" s="56"/>
      <c r="W59" s="56"/>
      <c r="X59" s="56"/>
    </row>
    <row r="60" spans="2:24" s="53" customFormat="1" ht="15" customHeight="1" x14ac:dyDescent="0.2">
      <c r="B60" s="54"/>
      <c r="C60" s="3"/>
      <c r="D60" s="3"/>
      <c r="E60" s="3"/>
      <c r="F60" s="55"/>
      <c r="O60" s="56"/>
      <c r="P60" s="56"/>
      <c r="Q60" s="56"/>
      <c r="R60" s="56"/>
      <c r="T60" s="56"/>
      <c r="U60" s="56"/>
      <c r="V60" s="56"/>
      <c r="W60" s="56"/>
      <c r="X60" s="56"/>
    </row>
    <row r="61" spans="2:24" ht="15" customHeight="1" x14ac:dyDescent="0.2">
      <c r="B61" s="3"/>
      <c r="C61" s="3"/>
      <c r="D61" s="3"/>
      <c r="E61" s="3"/>
    </row>
  </sheetData>
  <sheetProtection password="D954" sheet="1" objects="1" scenarios="1" selectLockedCells="1"/>
  <mergeCells count="23">
    <mergeCell ref="G27:H27"/>
    <mergeCell ref="G17:H17"/>
    <mergeCell ref="G16:H16"/>
    <mergeCell ref="G11:H11"/>
    <mergeCell ref="G23:H23"/>
    <mergeCell ref="G19:H19"/>
    <mergeCell ref="G21:H21"/>
    <mergeCell ref="B1:L1"/>
    <mergeCell ref="B58:L58"/>
    <mergeCell ref="B2:L2"/>
    <mergeCell ref="B59:L59"/>
    <mergeCell ref="B57:L57"/>
    <mergeCell ref="B14:L14"/>
    <mergeCell ref="G38:L42"/>
    <mergeCell ref="B11:E12"/>
    <mergeCell ref="J11:L11"/>
    <mergeCell ref="G33:H33"/>
    <mergeCell ref="J3:L3"/>
    <mergeCell ref="F5:I5"/>
    <mergeCell ref="G31:H31"/>
    <mergeCell ref="G25:H25"/>
    <mergeCell ref="G10:H10"/>
    <mergeCell ref="G29:H29"/>
  </mergeCells>
  <phoneticPr fontId="2" type="noConversion"/>
  <dataValidations count="5">
    <dataValidation showInputMessage="1" showErrorMessage="1" sqref="E39:E41 G38"/>
    <dataValidation type="list" showInputMessage="1" showErrorMessage="1" sqref="F11 F21 F31 F17 F19 F33 F25 F27 F29 F23">
      <formula1>Network_Choice</formula1>
    </dataValidation>
    <dataValidation type="list" allowBlank="1" showInputMessage="1" showErrorMessage="1" sqref="G17 I17">
      <formula1>EE_Phys</formula1>
    </dataValidation>
    <dataValidation type="list" allowBlank="1" showInputMessage="1" showErrorMessage="1" sqref="J17 I33:J33 G33 G31 G29 G27 G25 G23 G21 G19 I19:J19 I21:J21 I23:J23 I25:J25 I27:J27 I29:J29 I31:J31">
      <formula1>Visits</formula1>
    </dataValidation>
    <dataValidation type="list" allowBlank="1" showInputMessage="1" showErrorMessage="1" sqref="F5:I5">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43"/>
  <sheetViews>
    <sheetView zoomScale="75" workbookViewId="0">
      <pane xSplit="2" ySplit="7" topLeftCell="C11" activePane="bottomRight" state="frozen"/>
      <selection activeCell="K166" sqref="K166"/>
      <selection pane="topRight" activeCell="K166" sqref="K166"/>
      <selection pane="bottomLeft" activeCell="K166" sqref="K166"/>
      <selection pane="bottomRight" activeCell="K166" sqref="K166"/>
    </sheetView>
  </sheetViews>
  <sheetFormatPr defaultRowHeight="12.75" x14ac:dyDescent="0.2"/>
  <cols>
    <col min="1" max="1" width="15.5703125" customWidth="1"/>
    <col min="2" max="2" width="33.285156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7109375" bestFit="1" customWidth="1"/>
    <col min="22" max="22" width="10" bestFit="1" customWidth="1"/>
    <col min="23" max="23" width="10" customWidth="1"/>
    <col min="31" max="31" width="11" bestFit="1" customWidth="1"/>
  </cols>
  <sheetData>
    <row r="1" spans="1:34" ht="20.25" customHeight="1" x14ac:dyDescent="0.2">
      <c r="B1" s="246">
        <v>1.1000000000000001</v>
      </c>
      <c r="C1" s="247" t="s">
        <v>17</v>
      </c>
      <c r="D1" s="247"/>
      <c r="E1" s="247"/>
      <c r="F1" s="247"/>
      <c r="G1" s="247"/>
      <c r="H1" s="247"/>
      <c r="I1" s="247"/>
      <c r="J1" s="247"/>
      <c r="K1" s="247"/>
      <c r="Q1" s="57"/>
      <c r="R1" s="57"/>
      <c r="S1" s="57"/>
    </row>
    <row r="2" spans="1:34" ht="12.75" customHeight="1" x14ac:dyDescent="0.2">
      <c r="B2" s="246"/>
      <c r="C2" s="247"/>
      <c r="D2" s="247"/>
      <c r="E2" s="247"/>
      <c r="F2" s="247"/>
      <c r="G2" s="247"/>
      <c r="H2" s="247"/>
      <c r="I2" s="247"/>
      <c r="J2" s="247"/>
      <c r="K2" s="247"/>
      <c r="P2" s="248" t="s">
        <v>114</v>
      </c>
      <c r="Q2" s="248"/>
      <c r="R2" s="248"/>
      <c r="S2" s="248"/>
      <c r="T2" s="244">
        <f>VLOOKUP('Plan Comparison Calculator'!$F5,'Plan Defn'!$A35:$H40,7,FALSE)</f>
        <v>0</v>
      </c>
      <c r="AA2" s="248" t="s">
        <v>114</v>
      </c>
      <c r="AB2" s="248"/>
      <c r="AC2" s="248"/>
      <c r="AD2" s="248"/>
      <c r="AE2" s="244">
        <f>IF(AND('Plan Comparison Calculator'!G11=FALSE,'Plan Comparison Calculator'!I11=FALSE),VLOOKUP('Plan Comparison Calculator'!$F5,'Plan Defn'!$A35:$H40,8,FALSE),1)</f>
        <v>0</v>
      </c>
    </row>
    <row r="3" spans="1:34" x14ac:dyDescent="0.2">
      <c r="B3" s="60"/>
      <c r="C3" s="61"/>
      <c r="D3" s="61"/>
      <c r="E3" s="61"/>
      <c r="F3" s="61"/>
      <c r="G3" s="61"/>
      <c r="H3" s="61"/>
      <c r="I3" s="61"/>
      <c r="J3" s="61"/>
      <c r="K3" s="61"/>
      <c r="L3" s="61"/>
      <c r="M3" s="62"/>
      <c r="P3" s="248"/>
      <c r="Q3" s="248"/>
      <c r="R3" s="248"/>
      <c r="S3" s="248"/>
      <c r="T3" s="244"/>
      <c r="X3" s="62"/>
      <c r="AA3" s="248"/>
      <c r="AB3" s="248"/>
      <c r="AC3" s="248"/>
      <c r="AD3" s="248"/>
      <c r="AE3" s="244"/>
    </row>
    <row r="4" spans="1:34" ht="15.75" x14ac:dyDescent="0.25">
      <c r="B4" s="63"/>
      <c r="C4" s="243" t="s">
        <v>3</v>
      </c>
      <c r="D4" s="243"/>
      <c r="E4" s="243"/>
      <c r="F4" s="243"/>
      <c r="G4" s="243"/>
      <c r="H4" s="243"/>
      <c r="I4" s="243"/>
      <c r="J4" s="243"/>
      <c r="K4" s="243"/>
      <c r="L4" s="64"/>
      <c r="M4" s="65"/>
      <c r="N4" s="243" t="s">
        <v>4</v>
      </c>
      <c r="O4" s="243"/>
      <c r="P4" s="243"/>
      <c r="Q4" s="243"/>
      <c r="R4" s="243"/>
      <c r="S4" s="243"/>
      <c r="T4" s="243"/>
      <c r="U4" s="243"/>
      <c r="V4" s="243"/>
      <c r="W4" s="64"/>
      <c r="X4" s="65"/>
      <c r="Y4" s="243" t="s">
        <v>7</v>
      </c>
      <c r="Z4" s="243"/>
      <c r="AA4" s="243"/>
      <c r="AB4" s="243"/>
      <c r="AC4" s="243"/>
      <c r="AD4" s="243"/>
      <c r="AE4" s="243"/>
      <c r="AF4" s="243"/>
      <c r="AG4" s="243"/>
      <c r="AH4" s="243"/>
    </row>
    <row r="5" spans="1:34" ht="15.75" x14ac:dyDescent="0.25">
      <c r="B5" s="63"/>
      <c r="C5" s="244" t="s">
        <v>18</v>
      </c>
      <c r="D5" s="244"/>
      <c r="E5" s="244" t="s">
        <v>19</v>
      </c>
      <c r="F5" s="244"/>
      <c r="G5" s="245" t="s">
        <v>20</v>
      </c>
      <c r="H5" s="245"/>
      <c r="I5" s="244" t="s">
        <v>21</v>
      </c>
      <c r="J5" s="244"/>
      <c r="K5" s="244" t="s">
        <v>22</v>
      </c>
      <c r="L5" s="244"/>
      <c r="M5" s="65"/>
      <c r="N5" s="244" t="s">
        <v>18</v>
      </c>
      <c r="O5" s="244"/>
      <c r="P5" s="244" t="s">
        <v>19</v>
      </c>
      <c r="Q5" s="244"/>
      <c r="R5" s="245" t="s">
        <v>20</v>
      </c>
      <c r="S5" s="245"/>
      <c r="T5" s="244" t="s">
        <v>21</v>
      </c>
      <c r="U5" s="244"/>
      <c r="V5" s="244" t="s">
        <v>22</v>
      </c>
      <c r="W5" s="244"/>
      <c r="X5" s="65"/>
      <c r="Y5" s="244" t="s">
        <v>18</v>
      </c>
      <c r="Z5" s="244"/>
      <c r="AA5" s="244" t="s">
        <v>19</v>
      </c>
      <c r="AB5" s="244"/>
      <c r="AC5" s="245" t="s">
        <v>20</v>
      </c>
      <c r="AD5" s="245"/>
      <c r="AE5" s="244" t="s">
        <v>21</v>
      </c>
      <c r="AF5" s="244"/>
      <c r="AG5" s="244" t="s">
        <v>22</v>
      </c>
      <c r="AH5" s="244"/>
    </row>
    <row r="6" spans="1:34" ht="14.25" x14ac:dyDescent="0.2">
      <c r="B6" s="66"/>
      <c r="C6" s="242" t="s">
        <v>23</v>
      </c>
      <c r="D6" s="242"/>
      <c r="E6" s="242" t="s">
        <v>23</v>
      </c>
      <c r="F6" s="242"/>
      <c r="G6" s="242" t="s">
        <v>23</v>
      </c>
      <c r="H6" s="242"/>
      <c r="I6" s="242" t="s">
        <v>23</v>
      </c>
      <c r="J6" s="242"/>
      <c r="K6" s="242" t="s">
        <v>23</v>
      </c>
      <c r="L6" s="242"/>
      <c r="M6" s="68"/>
      <c r="N6" s="242" t="s">
        <v>23</v>
      </c>
      <c r="O6" s="242"/>
      <c r="P6" s="242" t="s">
        <v>23</v>
      </c>
      <c r="Q6" s="242"/>
      <c r="R6" s="242" t="s">
        <v>23</v>
      </c>
      <c r="S6" s="242"/>
      <c r="T6" s="242" t="s">
        <v>23</v>
      </c>
      <c r="U6" s="242"/>
      <c r="V6" s="242" t="s">
        <v>23</v>
      </c>
      <c r="W6" s="242"/>
      <c r="X6" s="68"/>
      <c r="Y6" s="242" t="s">
        <v>23</v>
      </c>
      <c r="Z6" s="242"/>
      <c r="AA6" s="242" t="s">
        <v>23</v>
      </c>
      <c r="AB6" s="242"/>
      <c r="AC6" s="242" t="s">
        <v>23</v>
      </c>
      <c r="AD6" s="242"/>
      <c r="AE6" s="242" t="s">
        <v>23</v>
      </c>
      <c r="AF6" s="242"/>
      <c r="AG6" s="242" t="s">
        <v>23</v>
      </c>
      <c r="AH6" s="242"/>
    </row>
    <row r="7" spans="1:34" ht="14.25" x14ac:dyDescent="0.2">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5"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5"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41"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5" x14ac:dyDescent="0.25">
      <c r="A11" s="241"/>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5" x14ac:dyDescent="0.25">
      <c r="A12" s="241"/>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5" x14ac:dyDescent="0.25">
      <c r="A13" s="241"/>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5" x14ac:dyDescent="0.25">
      <c r="A14" s="241"/>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5" x14ac:dyDescent="0.25">
      <c r="A15" s="241"/>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5" x14ac:dyDescent="0.25">
      <c r="A16" s="241"/>
      <c r="B16" s="74" t="s">
        <v>28</v>
      </c>
      <c r="C16" s="72">
        <f>'Plan Comparison Calculator'!$G$19*P1_In_Ov</f>
        <v>0</v>
      </c>
      <c r="D16" s="73"/>
      <c r="E16" s="72">
        <f>'Plan Comparison Calculator'!$G$19*Primary_Office-C16</f>
        <v>0</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5" x14ac:dyDescent="0.25">
      <c r="A17" s="241"/>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5" x14ac:dyDescent="0.25">
      <c r="A18" s="241"/>
      <c r="B18" s="74" t="s">
        <v>29</v>
      </c>
      <c r="C18" s="72">
        <f>'Plan Comparison Calculator'!$G$21*P1_In_Ov</f>
        <v>0</v>
      </c>
      <c r="D18" s="73"/>
      <c r="E18" s="72">
        <f>Specialist_Office*'Plan Comparison Calculator'!$G$21-C18</f>
        <v>0</v>
      </c>
      <c r="F18" s="73"/>
      <c r="G18" s="72">
        <f>Specialist_XrayLab*'Plan Comparison Calculator'!$G$21</f>
        <v>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5" x14ac:dyDescent="0.25">
      <c r="A19" s="241"/>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5" x14ac:dyDescent="0.25">
      <c r="A20" s="241"/>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0</v>
      </c>
      <c r="U20" s="73"/>
      <c r="V20" s="72"/>
      <c r="W20" s="73"/>
      <c r="X20" s="68"/>
      <c r="Y20" s="72">
        <f>'Plan Comparison Calculator'!$J$23*P1_In_ER</f>
        <v>0</v>
      </c>
      <c r="Z20" s="73"/>
      <c r="AA20" s="72"/>
      <c r="AB20" s="73"/>
      <c r="AC20" s="72"/>
      <c r="AD20" s="73"/>
      <c r="AE20" s="72">
        <f>ER*'Plan Comparison Calculator'!$J$23-Y20</f>
        <v>0</v>
      </c>
      <c r="AF20" s="73"/>
      <c r="AG20" s="72"/>
      <c r="AH20" s="73"/>
    </row>
    <row r="21" spans="1:34" ht="15" x14ac:dyDescent="0.25">
      <c r="A21" s="241"/>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5" x14ac:dyDescent="0.25">
      <c r="A22" s="241"/>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0</v>
      </c>
      <c r="AD22" s="73"/>
      <c r="AE22" s="72"/>
      <c r="AF22" s="73"/>
      <c r="AG22" s="72"/>
      <c r="AH22" s="73"/>
    </row>
    <row r="23" spans="1:34" ht="15" x14ac:dyDescent="0.25">
      <c r="A23" s="241"/>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5" x14ac:dyDescent="0.25">
      <c r="A24" s="241"/>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5" x14ac:dyDescent="0.25">
      <c r="A25" s="241"/>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5" x14ac:dyDescent="0.25">
      <c r="A26" s="241"/>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5" x14ac:dyDescent="0.25">
      <c r="A27" s="241"/>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5" x14ac:dyDescent="0.25">
      <c r="A28" s="241"/>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5" x14ac:dyDescent="0.25">
      <c r="A29" s="241"/>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5" x14ac:dyDescent="0.25">
      <c r="A30" s="241"/>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5" x14ac:dyDescent="0.25">
      <c r="A31" s="241"/>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5" x14ac:dyDescent="0.25">
      <c r="A32" s="241"/>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5" x14ac:dyDescent="0.25">
      <c r="A33" s="241"/>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5" x14ac:dyDescent="0.25">
      <c r="A34" s="241"/>
      <c r="B34" s="66"/>
      <c r="C34" s="70">
        <f>SUM(C14:C30,C8)</f>
        <v>0</v>
      </c>
      <c r="D34" s="71"/>
      <c r="E34" s="70">
        <f>SUM(E16:E30,E8)</f>
        <v>0</v>
      </c>
      <c r="F34" s="71"/>
      <c r="G34" s="70">
        <f>MAX(SUM(G8:G26)-P1_In_LabMax,0)+SUM(G29:G30)</f>
        <v>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0</v>
      </c>
      <c r="U34" s="71"/>
      <c r="V34" s="70">
        <f>SUM(V16:V30,V8)</f>
        <v>0</v>
      </c>
      <c r="W34" s="71"/>
      <c r="X34" s="68"/>
      <c r="Y34" s="70">
        <f>SUM(Y14:Y30,Y8)</f>
        <v>0</v>
      </c>
      <c r="Z34" s="71"/>
      <c r="AA34" s="70">
        <f>SUM(AA16:AA30,AA8)</f>
        <v>0</v>
      </c>
      <c r="AB34" s="71"/>
      <c r="AC34" s="70">
        <f>MAX(SUM(AC8:AC26)-P1_In_LabMax,0)+SUM(AC29:AC30)</f>
        <v>0</v>
      </c>
      <c r="AD34" s="71"/>
      <c r="AE34" s="70">
        <f>SUM(AE16:AE30,AE8)</f>
        <v>0</v>
      </c>
      <c r="AF34" s="71"/>
      <c r="AG34" s="70">
        <f>SUM(AG16:AG30,AG8)</f>
        <v>0</v>
      </c>
      <c r="AH34" s="71"/>
    </row>
    <row r="35" spans="1:34" ht="14.25" x14ac:dyDescent="0.2">
      <c r="A35" s="241"/>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5" x14ac:dyDescent="0.25">
      <c r="A36" s="241"/>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4.25" x14ac:dyDescent="0.2">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4.25" x14ac:dyDescent="0.2">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4.25" x14ac:dyDescent="0.2">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4.25" x14ac:dyDescent="0.2">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7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4.25" x14ac:dyDescent="0.2">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4.25" x14ac:dyDescent="0.2">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75" x14ac:dyDescent="0.25">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5"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5" x14ac:dyDescent="0.25">
      <c r="B46" s="86"/>
      <c r="C46" s="70">
        <f>E34+G34+I34+K34</f>
        <v>0</v>
      </c>
      <c r="D46" s="75"/>
      <c r="E46" s="92" t="s">
        <v>39</v>
      </c>
      <c r="F46" s="80"/>
      <c r="G46" s="75"/>
      <c r="H46" s="75"/>
      <c r="I46" s="75"/>
      <c r="J46" s="75"/>
      <c r="K46" s="75"/>
      <c r="L46" s="75"/>
      <c r="M46" s="89"/>
      <c r="N46" s="70">
        <f>(P34+R34+T34+V34)*T$2</f>
        <v>0</v>
      </c>
      <c r="O46" s="75"/>
      <c r="P46" s="92" t="s">
        <v>39</v>
      </c>
      <c r="Q46" s="80"/>
      <c r="R46" s="91"/>
      <c r="S46" s="91"/>
      <c r="T46" s="91"/>
      <c r="U46" s="91"/>
      <c r="V46" s="91"/>
      <c r="W46" s="91"/>
      <c r="X46" s="89"/>
      <c r="Y46" s="70">
        <f>(AA34+AC34+AE34+AG34)*AE$2</f>
        <v>0</v>
      </c>
      <c r="Z46" s="75"/>
      <c r="AA46" s="92" t="s">
        <v>39</v>
      </c>
      <c r="AB46" s="91"/>
      <c r="AC46" s="91"/>
    </row>
    <row r="47" spans="1:34" ht="15"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5" x14ac:dyDescent="0.25">
      <c r="B48" s="86"/>
      <c r="C48" s="70">
        <f>E34+G34+I34+K34</f>
        <v>0</v>
      </c>
      <c r="D48" s="75"/>
      <c r="E48" s="92" t="s">
        <v>40</v>
      </c>
      <c r="F48" s="80"/>
      <c r="G48" s="75"/>
      <c r="H48" s="75"/>
      <c r="I48" s="75"/>
      <c r="J48" s="75"/>
      <c r="K48" s="75"/>
      <c r="L48" s="75"/>
      <c r="M48" s="89"/>
      <c r="N48" s="70">
        <f>(P34+R34+T34+V34)*T$2</f>
        <v>0</v>
      </c>
      <c r="O48" s="75"/>
      <c r="P48" s="92" t="s">
        <v>40</v>
      </c>
      <c r="Q48" s="80"/>
      <c r="R48" s="91"/>
      <c r="S48" s="91"/>
      <c r="T48" s="91"/>
      <c r="U48" s="91"/>
      <c r="V48" s="91"/>
      <c r="W48" s="91"/>
      <c r="X48" s="89"/>
      <c r="Y48" s="70">
        <f>(AA34+AC34+AE34+AG34)*AE$2</f>
        <v>0</v>
      </c>
      <c r="Z48" s="75"/>
      <c r="AA48" s="92" t="s">
        <v>40</v>
      </c>
      <c r="AB48" s="91"/>
      <c r="AC48" s="91"/>
    </row>
    <row r="49" spans="2:34" ht="15"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5" x14ac:dyDescent="0.25">
      <c r="B50" s="86"/>
      <c r="F50" s="80"/>
      <c r="G50" s="75"/>
      <c r="H50" s="75"/>
      <c r="I50" s="75"/>
      <c r="J50" s="75"/>
      <c r="K50" s="75"/>
      <c r="L50" s="75"/>
      <c r="M50" s="89"/>
      <c r="Q50" s="80"/>
      <c r="R50" s="91"/>
      <c r="S50" s="91"/>
      <c r="T50" s="91"/>
      <c r="U50" s="91"/>
      <c r="V50" s="91"/>
      <c r="W50" s="91"/>
      <c r="X50" s="89"/>
      <c r="AB50" s="91"/>
      <c r="AC50" s="91"/>
    </row>
    <row r="51" spans="2:34" ht="15" x14ac:dyDescent="0.25">
      <c r="B51" s="86"/>
      <c r="C51" s="72">
        <f>MIN(C46,P1_In_Deduct)</f>
        <v>0</v>
      </c>
      <c r="D51" s="88"/>
      <c r="E51" s="94" t="s">
        <v>41</v>
      </c>
      <c r="G51" s="67"/>
      <c r="H51" s="67"/>
      <c r="I51" s="67"/>
      <c r="J51" s="67"/>
      <c r="K51" s="67"/>
      <c r="L51" s="67"/>
      <c r="M51" s="77"/>
      <c r="N51" s="72">
        <f>MIN(N46,P1_In_Deduct)</f>
        <v>0</v>
      </c>
      <c r="O51" s="88"/>
      <c r="P51" s="94" t="s">
        <v>41</v>
      </c>
      <c r="Q51" s="77"/>
      <c r="R51" s="77"/>
      <c r="S51" s="77"/>
      <c r="T51" s="77"/>
      <c r="U51" s="77"/>
      <c r="V51" s="77"/>
      <c r="W51" s="77"/>
      <c r="X51" s="77"/>
      <c r="Y51" s="72">
        <f>MIN(Y46,P1_In_Deduct)</f>
        <v>0</v>
      </c>
      <c r="Z51" s="88"/>
      <c r="AA51" s="94" t="s">
        <v>41</v>
      </c>
      <c r="AB51" s="77"/>
      <c r="AC51" s="77"/>
    </row>
    <row r="52" spans="2:34" ht="15" x14ac:dyDescent="0.25">
      <c r="B52" s="86"/>
      <c r="C52" s="73"/>
      <c r="E52" s="95"/>
      <c r="G52" s="67"/>
      <c r="H52" s="67"/>
      <c r="I52" s="67"/>
      <c r="J52" s="67"/>
      <c r="K52" s="67"/>
      <c r="L52" s="67"/>
      <c r="M52" s="77"/>
      <c r="N52" s="73"/>
      <c r="P52" s="95"/>
      <c r="Q52" s="77"/>
      <c r="R52" s="77"/>
      <c r="S52" s="77"/>
      <c r="W52" s="88"/>
      <c r="X52" s="77"/>
      <c r="Y52" s="73"/>
      <c r="AA52" s="95"/>
      <c r="AB52" s="77"/>
      <c r="AC52" s="77"/>
    </row>
    <row r="53" spans="2:34" ht="15" x14ac:dyDescent="0.25">
      <c r="B53" s="86"/>
      <c r="C53" s="73"/>
      <c r="E53" s="95"/>
      <c r="G53" s="67"/>
      <c r="H53" s="67"/>
      <c r="I53" s="67"/>
      <c r="J53" s="67"/>
      <c r="K53" s="67"/>
      <c r="L53" s="67"/>
      <c r="M53" s="77"/>
      <c r="N53" s="73"/>
      <c r="P53" s="95"/>
      <c r="Q53" s="77"/>
      <c r="R53" s="77"/>
      <c r="S53" s="77"/>
      <c r="W53" s="88"/>
      <c r="X53" s="77"/>
      <c r="Y53" s="73"/>
      <c r="AA53" s="95"/>
      <c r="AB53" s="77"/>
      <c r="AC53" s="77"/>
    </row>
    <row r="54" spans="2:34" ht="15" x14ac:dyDescent="0.25">
      <c r="B54" s="86"/>
      <c r="C54" s="72">
        <f>MIN((C48-C51)*(1-P1_In_Coins),P1_In_OOPMax)</f>
        <v>0</v>
      </c>
      <c r="D54" s="88"/>
      <c r="E54" s="92" t="s">
        <v>42</v>
      </c>
      <c r="F54" s="67"/>
      <c r="G54" s="67"/>
      <c r="H54" s="67"/>
      <c r="I54" s="67"/>
      <c r="J54" s="67"/>
      <c r="K54" s="67"/>
      <c r="L54" s="67"/>
      <c r="M54" s="77"/>
      <c r="N54" s="72">
        <f>MIN((N48-N51)*(1-P1_In_Coins),P1_In_OOPMax)</f>
        <v>0</v>
      </c>
      <c r="O54" s="88"/>
      <c r="P54" s="92" t="s">
        <v>42</v>
      </c>
      <c r="Q54" s="77"/>
      <c r="R54" s="77"/>
      <c r="S54" s="77"/>
      <c r="W54" s="88"/>
      <c r="X54" s="77"/>
      <c r="Y54" s="72">
        <f>MIN((Y48-Y51)*(1-P1_In_Coins),P1_In_OOPMax)</f>
        <v>0</v>
      </c>
      <c r="Z54" s="88"/>
      <c r="AA54" s="92" t="s">
        <v>42</v>
      </c>
      <c r="AB54" s="77"/>
      <c r="AC54" s="77"/>
    </row>
    <row r="55" spans="2:34" ht="15.75" x14ac:dyDescent="0.25">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5"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5"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75" x14ac:dyDescent="0.25">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0</v>
      </c>
      <c r="W58" s="85"/>
      <c r="X58" s="85"/>
      <c r="Y58" s="85"/>
      <c r="Z58" s="85"/>
      <c r="AA58" s="85"/>
      <c r="AB58" s="85"/>
      <c r="AC58" s="85"/>
    </row>
    <row r="59" spans="2:34" ht="15"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5"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75" x14ac:dyDescent="0.25">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0</v>
      </c>
      <c r="W61" s="85"/>
      <c r="X61" s="85"/>
      <c r="Y61" s="85"/>
      <c r="Z61" s="85"/>
      <c r="AA61" s="85"/>
      <c r="AB61" s="85"/>
      <c r="AC61" s="85"/>
    </row>
    <row r="62" spans="2:34" ht="15"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75" x14ac:dyDescent="0.25">
      <c r="B63" s="60"/>
      <c r="C63" s="61"/>
      <c r="D63" s="61"/>
      <c r="E63" s="61"/>
      <c r="F63" s="61"/>
      <c r="G63" s="61"/>
      <c r="H63" s="61"/>
      <c r="I63" s="61"/>
      <c r="J63" s="61"/>
      <c r="K63" s="61"/>
      <c r="L63" s="61"/>
      <c r="M63" s="62"/>
      <c r="X63" s="62"/>
      <c r="AA63" s="58"/>
      <c r="AB63" s="58"/>
      <c r="AC63" s="58"/>
      <c r="AD63" s="58"/>
      <c r="AE63" s="59"/>
    </row>
    <row r="64" spans="2:34" ht="15.75" x14ac:dyDescent="0.25">
      <c r="B64" s="63"/>
      <c r="C64" s="243" t="s">
        <v>3</v>
      </c>
      <c r="D64" s="243"/>
      <c r="E64" s="243"/>
      <c r="F64" s="243"/>
      <c r="G64" s="243"/>
      <c r="H64" s="243"/>
      <c r="I64" s="243"/>
      <c r="J64" s="243"/>
      <c r="K64" s="243"/>
      <c r="L64" s="64"/>
      <c r="M64" s="65"/>
      <c r="N64" s="243" t="s">
        <v>4</v>
      </c>
      <c r="O64" s="243"/>
      <c r="P64" s="243"/>
      <c r="Q64" s="243"/>
      <c r="R64" s="243"/>
      <c r="S64" s="243"/>
      <c r="T64" s="243"/>
      <c r="U64" s="243"/>
      <c r="V64" s="243"/>
      <c r="W64" s="64"/>
      <c r="X64" s="65"/>
      <c r="Y64" s="243" t="s">
        <v>7</v>
      </c>
      <c r="Z64" s="243"/>
      <c r="AA64" s="243"/>
      <c r="AB64" s="243"/>
      <c r="AC64" s="243"/>
      <c r="AD64" s="243"/>
      <c r="AE64" s="243"/>
      <c r="AF64" s="243"/>
      <c r="AG64" s="243"/>
      <c r="AH64" s="243"/>
    </row>
    <row r="65" spans="1:34" ht="33.75" customHeight="1" x14ac:dyDescent="0.25">
      <c r="B65" s="63"/>
      <c r="C65" s="244" t="s">
        <v>18</v>
      </c>
      <c r="D65" s="244"/>
      <c r="E65" s="244" t="s">
        <v>19</v>
      </c>
      <c r="F65" s="244"/>
      <c r="G65" s="245" t="s">
        <v>20</v>
      </c>
      <c r="H65" s="245"/>
      <c r="I65" s="244" t="s">
        <v>21</v>
      </c>
      <c r="J65" s="244"/>
      <c r="K65" s="244" t="s">
        <v>22</v>
      </c>
      <c r="L65" s="244"/>
      <c r="M65" s="65"/>
      <c r="N65" s="244" t="s">
        <v>18</v>
      </c>
      <c r="O65" s="244"/>
      <c r="P65" s="244" t="s">
        <v>19</v>
      </c>
      <c r="Q65" s="244"/>
      <c r="R65" s="245" t="s">
        <v>20</v>
      </c>
      <c r="S65" s="245"/>
      <c r="T65" s="244" t="s">
        <v>21</v>
      </c>
      <c r="U65" s="244"/>
      <c r="V65" s="244" t="s">
        <v>22</v>
      </c>
      <c r="W65" s="244"/>
      <c r="X65" s="65"/>
      <c r="Y65" s="244" t="s">
        <v>18</v>
      </c>
      <c r="Z65" s="244"/>
      <c r="AA65" s="244" t="s">
        <v>19</v>
      </c>
      <c r="AB65" s="244"/>
      <c r="AC65" s="245" t="s">
        <v>20</v>
      </c>
      <c r="AD65" s="245"/>
      <c r="AE65" s="244" t="s">
        <v>21</v>
      </c>
      <c r="AF65" s="244"/>
      <c r="AG65" s="244" t="s">
        <v>22</v>
      </c>
      <c r="AH65" s="244"/>
    </row>
    <row r="66" spans="1:34" ht="14.25" x14ac:dyDescent="0.2">
      <c r="B66" s="66"/>
      <c r="C66" s="242" t="s">
        <v>23</v>
      </c>
      <c r="D66" s="242"/>
      <c r="E66" s="242" t="s">
        <v>23</v>
      </c>
      <c r="F66" s="242"/>
      <c r="G66" s="242" t="s">
        <v>23</v>
      </c>
      <c r="H66" s="242"/>
      <c r="I66" s="242" t="s">
        <v>23</v>
      </c>
      <c r="J66" s="242"/>
      <c r="K66" s="242" t="s">
        <v>23</v>
      </c>
      <c r="L66" s="242"/>
      <c r="M66" s="68"/>
      <c r="N66" s="242" t="s">
        <v>23</v>
      </c>
      <c r="O66" s="242"/>
      <c r="P66" s="242" t="s">
        <v>23</v>
      </c>
      <c r="Q66" s="242"/>
      <c r="R66" s="242" t="s">
        <v>23</v>
      </c>
      <c r="S66" s="242"/>
      <c r="T66" s="242" t="s">
        <v>23</v>
      </c>
      <c r="U66" s="242"/>
      <c r="V66" s="242" t="s">
        <v>23</v>
      </c>
      <c r="W66" s="242"/>
      <c r="X66" s="68"/>
      <c r="Y66" s="242" t="s">
        <v>23</v>
      </c>
      <c r="Z66" s="242"/>
      <c r="AA66" s="242" t="s">
        <v>23</v>
      </c>
      <c r="AB66" s="242"/>
      <c r="AC66" s="242" t="s">
        <v>23</v>
      </c>
      <c r="AD66" s="242"/>
      <c r="AE66" s="242" t="s">
        <v>23</v>
      </c>
      <c r="AF66" s="242"/>
      <c r="AG66" s="242" t="s">
        <v>23</v>
      </c>
      <c r="AH66" s="242"/>
    </row>
    <row r="67" spans="1:34" ht="14.25" x14ac:dyDescent="0.2">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5"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5" x14ac:dyDescent="0.25">
      <c r="B76" s="74" t="s">
        <v>28</v>
      </c>
      <c r="C76" s="72">
        <f>IF('Plan Comparison Calculator'!$F$19="In-Network",'Plan Comparison Calculator'!$G$19*P2_In_OV,"")</f>
        <v>0</v>
      </c>
      <c r="D76" s="73" t="str">
        <f>IF('Plan Comparison Calculator'!$F$19="PLUS ONLY Out-of-Network",'Plan Comparison Calculator'!$G$19*P2_Out_OV,"")</f>
        <v/>
      </c>
      <c r="E76" s="72">
        <f>IF('Plan Comparison Calculator'!$F$19="In-Network",'Plan Comparison Calculator'!$G$19*Primary_Office-C76,"")</f>
        <v>0</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IF('Plan Comparison Calculator'!$F$19="In-Network",'Plan Comparison Calculator'!$I$19*P2_In_OV,"")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IF('Plan Comparison Calculator'!$F$19="In-Network",'Plan Comparison Calculator'!$J$19*P2_In_OV,"")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41" t="str">
        <f>P2_Plan</f>
        <v>Access PPO</v>
      </c>
      <c r="B78" s="74" t="s">
        <v>29</v>
      </c>
      <c r="C78" s="72">
        <f>IF('Plan Comparison Calculator'!$F$21="In-Network",'Plan Comparison Calculator'!$G$21*P2_In_OV,"")</f>
        <v>0</v>
      </c>
      <c r="D78" s="73" t="str">
        <f>IF('Plan Comparison Calculator'!$F$21="PLUS ONLY Out-of-Network",'Plan Comparison Calculator'!$G$21*P2_Out_OV,"")</f>
        <v/>
      </c>
      <c r="E78" s="72">
        <f>IF('Plan Comparison Calculator'!$F$21="In-Network",Specialist_Office*'Plan Comparison Calculator'!$G$21-C78,"")</f>
        <v>0</v>
      </c>
      <c r="F78" s="73" t="str">
        <f>IF('Plan Comparison Calculator'!$F$21="PLUS ONLY Out-of-Network",Specialist_Office*'Plan Comparison Calculator'!$G$21*OONCostLoad-D78,"")</f>
        <v/>
      </c>
      <c r="G78" s="72">
        <f>IF('Plan Comparison Calculator'!$F$21="In-Network",Specialist_XrayLab*'Plan Comparison Calculator'!$G$21,"")</f>
        <v>0</v>
      </c>
      <c r="H78" s="73" t="str">
        <f>IF('Plan Comparison Calculator'!$F$21="PLUS ONLY Out-of-Network",Specialist_XrayLab*'Plan Comparison Calculator'!$G$21*OONCostLoad,"")</f>
        <v/>
      </c>
      <c r="I78" s="72"/>
      <c r="J78" s="73"/>
      <c r="K78" s="72"/>
      <c r="L78" s="73"/>
      <c r="M78" s="68"/>
      <c r="N78" s="72">
        <f>IF('Plan Comparison Calculator'!$F$21="In-Network",'Plan Comparison Calculator'!$I$21*P2_In_OV,"")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IF('Plan Comparison Calculator'!$F$21="In-Network",'Plan Comparison Calculator'!$J$21*P2_In_OV,"")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41"/>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5" x14ac:dyDescent="0.25">
      <c r="A80" s="241"/>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0</v>
      </c>
      <c r="O80" s="73" t="str">
        <f>IF('Plan Comparison Calculator'!$F$23="PLUS ONLY Out-of-Network",'Plan Comparison Calculator'!$I$23*P2_Out_ER,"")</f>
        <v/>
      </c>
      <c r="P80" s="72"/>
      <c r="Q80" s="73"/>
      <c r="R80" s="72"/>
      <c r="S80" s="73"/>
      <c r="T80" s="72">
        <f>IF('Plan Comparison Calculator'!$F$23="In-Network",ER*'Plan Comparison Calculator'!$I$23-$N80,"")</f>
        <v>0</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41"/>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5" x14ac:dyDescent="0.25">
      <c r="A82" s="241"/>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0</v>
      </c>
      <c r="AD82" s="73" t="str">
        <f>IF('Plan Comparison Calculator'!$F$25="PLUS ONLY Out-of-Network",Lab*'Plan Comparison Calculator'!$J$25*OONCostLoad,"")</f>
        <v/>
      </c>
      <c r="AE82" s="72"/>
      <c r="AF82" s="73"/>
      <c r="AG82" s="72"/>
      <c r="AH82" s="73"/>
    </row>
    <row r="83" spans="1:34" ht="4.5" customHeight="1" x14ac:dyDescent="0.25">
      <c r="A83" s="241"/>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5" x14ac:dyDescent="0.25">
      <c r="A84" s="241"/>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41"/>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5" x14ac:dyDescent="0.25">
      <c r="A86" s="241"/>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41"/>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5" x14ac:dyDescent="0.25">
      <c r="A88" s="241"/>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41"/>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5" x14ac:dyDescent="0.25">
      <c r="A90" s="241"/>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5" x14ac:dyDescent="0.25">
      <c r="A91" s="241"/>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5" x14ac:dyDescent="0.25">
      <c r="A92" s="241"/>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5" x14ac:dyDescent="0.25">
      <c r="A93" s="241"/>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5" x14ac:dyDescent="0.25">
      <c r="A94" s="241"/>
      <c r="B94" s="66"/>
      <c r="C94" s="70">
        <f>SUM(C74:C90,C68)</f>
        <v>0</v>
      </c>
      <c r="D94" s="71">
        <f>SUM(D74:D90,D68)</f>
        <v>0</v>
      </c>
      <c r="E94" s="70">
        <f>SUM(E76:E90,E68)</f>
        <v>0</v>
      </c>
      <c r="F94" s="71">
        <f>SUM(F76:F90,F68)</f>
        <v>0</v>
      </c>
      <c r="G94" s="70">
        <f>MAX(SUM(G68:G86)-P2_In_LabMax,0)+SUM(G89:G90)</f>
        <v>0</v>
      </c>
      <c r="H94" s="71">
        <f>MAX(SUM(H68:H86)-P2_Out_LabMax,0)+SUM(H89:H90)</f>
        <v>0</v>
      </c>
      <c r="I94" s="70">
        <f>SUM(I76:I90,I68)</f>
        <v>0</v>
      </c>
      <c r="J94" s="71">
        <f>SUM(J76:J90,J68)</f>
        <v>0</v>
      </c>
      <c r="K94" s="70">
        <f>SUM(K76:K90,K68)</f>
        <v>0</v>
      </c>
      <c r="L94" s="71">
        <f>SUM(L76:L90,L68)</f>
        <v>0</v>
      </c>
      <c r="M94" s="68"/>
      <c r="N94" s="70">
        <f>SUM(N74:N90,N68)</f>
        <v>0</v>
      </c>
      <c r="O94" s="71">
        <f>SUM(O74:O90,O68)</f>
        <v>0</v>
      </c>
      <c r="P94" s="70">
        <f>SUM(P76:P90,P68)</f>
        <v>0</v>
      </c>
      <c r="Q94" s="71">
        <f>SUM(Q76:Q90,Q68)</f>
        <v>0</v>
      </c>
      <c r="R94" s="70">
        <f>MAX(SUM(R68:R86)-P2_In_LabMax,0)+SUM(R89:R90)</f>
        <v>0</v>
      </c>
      <c r="S94" s="71">
        <f>MAX(SUM(S68:S86)-P2_Out_LabMax,0)+SUM(S89:S90)</f>
        <v>0</v>
      </c>
      <c r="T94" s="70">
        <f>SUM(T76:T90,T68)</f>
        <v>0</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0</v>
      </c>
      <c r="AD94" s="71">
        <f>MAX(SUM(AD68:AD86)-P2_Out_LabMax,0)+SUM(AD89:AD90)</f>
        <v>0</v>
      </c>
      <c r="AE94" s="70">
        <f>SUM(AE76:AE90,AE68)</f>
        <v>0</v>
      </c>
      <c r="AF94" s="71">
        <f>SUM(AF76:AF90,AF68)</f>
        <v>0</v>
      </c>
      <c r="AG94" s="70">
        <f>SUM(AG76:AG90,AG68)</f>
        <v>0</v>
      </c>
      <c r="AH94" s="71">
        <f>SUM(AH76:AH90,AH68)</f>
        <v>0</v>
      </c>
    </row>
    <row r="95" spans="1:34" ht="14.25" x14ac:dyDescent="0.2">
      <c r="A95" s="241"/>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41"/>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4.25" x14ac:dyDescent="0.2">
      <c r="A97" s="241"/>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4.25" x14ac:dyDescent="0.2">
      <c r="A98" s="241"/>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4.25" x14ac:dyDescent="0.2">
      <c r="A99" s="241"/>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4.25" x14ac:dyDescent="0.2">
      <c r="A100" s="241"/>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75" x14ac:dyDescent="0.25">
      <c r="A101" s="241"/>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4.25" x14ac:dyDescent="0.2">
      <c r="A102" s="241"/>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
      <c r="A103" s="241"/>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25">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5" x14ac:dyDescent="0.25">
      <c r="B105" s="86"/>
      <c r="C105" s="87">
        <f>SUM(C94:D94)</f>
        <v>0</v>
      </c>
      <c r="D105" s="88"/>
      <c r="E105" s="80" t="s">
        <v>38</v>
      </c>
      <c r="F105" s="80"/>
      <c r="G105" s="75"/>
      <c r="H105" s="75"/>
      <c r="I105" s="75"/>
      <c r="J105" s="75"/>
      <c r="K105" s="75"/>
      <c r="L105" s="75"/>
      <c r="M105" s="89"/>
      <c r="N105" s="87">
        <f>SUM(N94:O94)*$T$2</f>
        <v>0</v>
      </c>
      <c r="O105" s="90"/>
      <c r="P105" s="80" t="s">
        <v>38</v>
      </c>
      <c r="Q105" s="80"/>
      <c r="R105" s="91"/>
      <c r="S105" s="91"/>
      <c r="T105" s="91"/>
      <c r="U105" s="91"/>
      <c r="V105" s="91"/>
      <c r="W105" s="91"/>
      <c r="X105" s="89"/>
      <c r="Y105" s="87">
        <f>SUM(Y94:Z94)*$AE$2</f>
        <v>0</v>
      </c>
      <c r="Z105" s="88"/>
      <c r="AA105" s="80" t="s">
        <v>38</v>
      </c>
      <c r="AB105" s="91"/>
      <c r="AC105" s="91"/>
    </row>
    <row r="106" spans="1:29" ht="15" x14ac:dyDescent="0.25">
      <c r="B106" s="86"/>
      <c r="C106" s="70">
        <f>E94+G94+I94+K94</f>
        <v>0</v>
      </c>
      <c r="D106" s="75"/>
      <c r="E106" s="92" t="s">
        <v>39</v>
      </c>
      <c r="F106" s="80"/>
      <c r="G106" s="75"/>
      <c r="H106" s="75"/>
      <c r="I106" s="75"/>
      <c r="J106" s="75"/>
      <c r="K106" s="75"/>
      <c r="L106" s="75"/>
      <c r="M106" s="89"/>
      <c r="N106" s="70">
        <f>(P94+R94+T94+V94)*T2</f>
        <v>0</v>
      </c>
      <c r="O106" s="75"/>
      <c r="P106" s="92" t="s">
        <v>39</v>
      </c>
      <c r="Q106" s="80"/>
      <c r="R106" s="91"/>
      <c r="S106" s="91"/>
      <c r="T106" s="91"/>
      <c r="U106" s="91"/>
      <c r="V106" s="91"/>
      <c r="W106" s="91"/>
      <c r="X106" s="89"/>
      <c r="Y106" s="70">
        <f>(AA94+AC94+AE94+AG94)*AE2</f>
        <v>0</v>
      </c>
      <c r="Z106" s="75"/>
      <c r="AA106" s="92" t="s">
        <v>39</v>
      </c>
      <c r="AB106" s="91"/>
      <c r="AC106" s="91"/>
    </row>
    <row r="107" spans="1:29" ht="15"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5" x14ac:dyDescent="0.25">
      <c r="B108" s="86"/>
      <c r="C108" s="70">
        <f>SUM(E94,G94,I94,K94)</f>
        <v>0</v>
      </c>
      <c r="D108" s="75"/>
      <c r="E108" s="92" t="s">
        <v>40</v>
      </c>
      <c r="F108" s="80"/>
      <c r="G108" s="75"/>
      <c r="H108" s="75"/>
      <c r="I108" s="75"/>
      <c r="J108" s="75"/>
      <c r="K108" s="75"/>
      <c r="L108" s="75"/>
      <c r="M108" s="89"/>
      <c r="N108" s="70">
        <f>SUM(P94,R94,T94,V94)*T2</f>
        <v>0</v>
      </c>
      <c r="O108" s="75"/>
      <c r="P108" s="92" t="s">
        <v>40</v>
      </c>
      <c r="Q108" s="80"/>
      <c r="R108" s="91"/>
      <c r="S108" s="91"/>
      <c r="T108" s="91"/>
      <c r="U108" s="91"/>
      <c r="V108" s="91"/>
      <c r="W108" s="91"/>
      <c r="X108" s="89"/>
      <c r="Y108" s="70">
        <f>SUM(AA94,AC94,AE94,AG94)*AE2</f>
        <v>0</v>
      </c>
      <c r="Z108" s="75"/>
      <c r="AA108" s="92" t="s">
        <v>40</v>
      </c>
      <c r="AB108" s="91"/>
      <c r="AC108" s="91"/>
    </row>
    <row r="109" spans="1:29" ht="15"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5" x14ac:dyDescent="0.25">
      <c r="B110" s="86"/>
      <c r="F110" s="80"/>
      <c r="G110" s="75"/>
      <c r="H110" s="75"/>
      <c r="I110" s="75"/>
      <c r="J110" s="75"/>
      <c r="K110" s="75"/>
      <c r="L110" s="75"/>
      <c r="M110" s="89"/>
      <c r="Q110" s="80"/>
      <c r="R110" s="91"/>
      <c r="S110" s="91"/>
      <c r="T110" s="91"/>
      <c r="U110" s="91"/>
      <c r="V110" s="91"/>
      <c r="W110" s="91"/>
      <c r="X110" s="89"/>
      <c r="AB110" s="91"/>
      <c r="AC110" s="91"/>
    </row>
    <row r="111" spans="1:29" ht="15" x14ac:dyDescent="0.25">
      <c r="B111" s="86"/>
      <c r="C111" s="152">
        <f>IF(SUM(C$106:C$107)&gt;=P2_In_Deduct,(C$106/SUM(C$106:C$107))*P2_In_Deduct,C106)</f>
        <v>0</v>
      </c>
      <c r="D111" s="88"/>
      <c r="E111" s="94" t="s">
        <v>41</v>
      </c>
      <c r="G111" s="67"/>
      <c r="H111" s="67"/>
      <c r="I111" s="67"/>
      <c r="J111" s="67"/>
      <c r="K111" s="67"/>
      <c r="L111" s="67"/>
      <c r="M111" s="77"/>
      <c r="N111" s="152">
        <f>IF(SUM(N$106:N$107)&gt;=P2_In_Deduct,(N$106/SUM(N$106:N$107))*P2_In_Deduct,N106)</f>
        <v>0</v>
      </c>
      <c r="O111" s="88"/>
      <c r="P111" s="94" t="s">
        <v>41</v>
      </c>
      <c r="Q111" s="77"/>
      <c r="R111" s="77"/>
      <c r="S111" s="77"/>
      <c r="T111" s="77"/>
      <c r="U111" s="77"/>
      <c r="V111" s="77"/>
      <c r="W111" s="77"/>
      <c r="X111" s="77"/>
      <c r="Y111" s="152">
        <f>IF(SUM(Y$106:Y$107)&gt;=P2_In_Deduct,(Y$106/SUM(Y$106:Y$107))*P2_In_Deduct,Y106)</f>
        <v>0</v>
      </c>
      <c r="Z111" s="88"/>
      <c r="AA111" s="94" t="s">
        <v>41</v>
      </c>
      <c r="AB111" s="77"/>
      <c r="AC111" s="77"/>
    </row>
    <row r="112" spans="1:29" ht="15" x14ac:dyDescent="0.25">
      <c r="B112" s="86"/>
      <c r="C112" s="152">
        <f>IF(SUM(C$106:C$107)&gt;=P2_In_Deduct,(C$107/SUM(C$106:C$107))*P2_In_Deduct,C107)</f>
        <v>0</v>
      </c>
      <c r="E112" s="95" t="s">
        <v>47</v>
      </c>
      <c r="G112" s="67"/>
      <c r="H112" s="67"/>
      <c r="I112" s="67"/>
      <c r="J112" s="67"/>
      <c r="K112" s="67"/>
      <c r="L112" s="67"/>
      <c r="M112" s="77"/>
      <c r="N112" s="152">
        <f>IF(SUM(N$106:N$107)&gt;=P2_In_Deduct,(N$107/SUM(N$106:N$107))*P2_In_Deduct,N107)</f>
        <v>0</v>
      </c>
      <c r="P112" s="95" t="s">
        <v>47</v>
      </c>
      <c r="Q112" s="77"/>
      <c r="R112" s="77"/>
      <c r="S112" s="77"/>
      <c r="W112" s="88"/>
      <c r="X112" s="77"/>
      <c r="Y112" s="152">
        <f>IF(SUM(Y$106:Y$107)&gt;=P2_In_Deduct,(Y$107/SUM(Y$106:Y$107))*P2_In_Deduct,Y107)</f>
        <v>0</v>
      </c>
      <c r="AA112" s="95" t="s">
        <v>47</v>
      </c>
      <c r="AB112" s="77"/>
      <c r="AC112" s="77"/>
    </row>
    <row r="113" spans="2:34" ht="15"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5" x14ac:dyDescent="0.25">
      <c r="B114" s="86"/>
      <c r="C114" s="155">
        <f>MIN((C108-C111)*(1-P2_In_Coins),P2_In_OOPMax)</f>
        <v>0</v>
      </c>
      <c r="D114" s="88"/>
      <c r="E114" s="92" t="s">
        <v>42</v>
      </c>
      <c r="F114" s="67"/>
      <c r="G114" s="67"/>
      <c r="H114" s="67"/>
      <c r="I114" s="67"/>
      <c r="J114" s="67"/>
      <c r="K114" s="67"/>
      <c r="L114" s="67"/>
      <c r="M114" s="77"/>
      <c r="N114" s="72">
        <f>MIN((N108-N111)*(1-P2_In_Coins),P2_In_OOPMax)</f>
        <v>0</v>
      </c>
      <c r="O114" s="88"/>
      <c r="P114" s="92" t="s">
        <v>42</v>
      </c>
      <c r="Q114" s="77"/>
      <c r="R114" s="77"/>
      <c r="S114" s="77"/>
      <c r="W114" s="88"/>
      <c r="X114" s="77"/>
      <c r="Y114" s="72">
        <f>MIN((Y108-Y111)*(1-P2_In_Coins),P2_In_OOPMax)</f>
        <v>0</v>
      </c>
      <c r="Z114" s="88"/>
      <c r="AA114" s="92" t="s">
        <v>42</v>
      </c>
      <c r="AB114" s="77"/>
      <c r="AC114" s="77"/>
    </row>
    <row r="115" spans="2:34" ht="15.75" x14ac:dyDescent="0.25">
      <c r="B115" s="86"/>
      <c r="C115" s="156">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5"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5" x14ac:dyDescent="0.25">
      <c r="B117" s="86"/>
      <c r="C117" s="171"/>
      <c r="D117" s="164" t="s">
        <v>92</v>
      </c>
      <c r="E117" s="172" t="s">
        <v>93</v>
      </c>
      <c r="F117" s="165" t="s">
        <v>94</v>
      </c>
      <c r="G117" s="173"/>
      <c r="H117" s="171"/>
      <c r="I117" s="171"/>
      <c r="J117" s="171"/>
      <c r="K117" s="171"/>
      <c r="L117" s="171"/>
      <c r="M117" s="77"/>
      <c r="N117" s="77"/>
      <c r="O117" s="77"/>
      <c r="P117" s="77"/>
      <c r="Q117" s="77"/>
      <c r="R117" s="77"/>
      <c r="S117" s="77"/>
      <c r="T117" s="77"/>
      <c r="U117" s="77"/>
      <c r="V117" s="77"/>
      <c r="W117" s="77"/>
      <c r="X117" s="77"/>
      <c r="Y117" s="77"/>
      <c r="Z117" s="77"/>
      <c r="AA117" s="77"/>
      <c r="AB117" s="77"/>
      <c r="AC117" s="77"/>
    </row>
    <row r="118" spans="2:34" ht="15.75" x14ac:dyDescent="0.25">
      <c r="B118" s="153"/>
      <c r="C118" s="163" t="s">
        <v>1</v>
      </c>
      <c r="D118" s="174">
        <f t="shared" ref="D118:D123" si="0">IF(F118&lt;E118,F118,E118)</f>
        <v>0</v>
      </c>
      <c r="E118" s="177">
        <f>'Plan Defn'!E9</f>
        <v>3000</v>
      </c>
      <c r="F118" s="179">
        <f t="shared" ref="F118:F123" si="1">SUM(L$118:L$121)</f>
        <v>0</v>
      </c>
      <c r="G118" s="165" t="s">
        <v>95</v>
      </c>
      <c r="H118" s="58"/>
      <c r="I118" s="58"/>
      <c r="J118" s="58"/>
      <c r="K118" s="164" t="s">
        <v>96</v>
      </c>
      <c r="L118" s="175">
        <f>V118</f>
        <v>0</v>
      </c>
      <c r="N118" s="85"/>
      <c r="O118" s="85"/>
      <c r="P118" s="85"/>
      <c r="Q118" s="85"/>
      <c r="R118" s="85"/>
      <c r="S118" s="85"/>
      <c r="T118" s="98" t="s">
        <v>43</v>
      </c>
      <c r="U118" s="98"/>
      <c r="V118" s="100">
        <f>MIN((C111+N111+Y111),(P2_In_Deduct*P2_In_FamMult))</f>
        <v>0</v>
      </c>
      <c r="W118" s="85"/>
      <c r="X118" s="85"/>
      <c r="Y118" s="85"/>
      <c r="Z118" s="85"/>
      <c r="AA118" s="85"/>
      <c r="AB118" s="85"/>
      <c r="AC118" s="85"/>
    </row>
    <row r="119" spans="2:34" ht="15" x14ac:dyDescent="0.25">
      <c r="B119" s="154"/>
      <c r="C119" s="163" t="s">
        <v>80</v>
      </c>
      <c r="D119" s="174">
        <f t="shared" si="0"/>
        <v>0</v>
      </c>
      <c r="E119" s="176">
        <f>'Plan Defn'!E$10</f>
        <v>6000</v>
      </c>
      <c r="F119" s="179">
        <f t="shared" si="1"/>
        <v>0</v>
      </c>
      <c r="G119" s="165" t="s">
        <v>95</v>
      </c>
      <c r="H119" s="171"/>
      <c r="I119" s="171"/>
      <c r="J119" s="171"/>
      <c r="K119" s="164" t="s">
        <v>97</v>
      </c>
      <c r="L119" s="175">
        <f>V121</f>
        <v>0</v>
      </c>
      <c r="N119" s="77"/>
      <c r="O119" s="77"/>
      <c r="P119" s="77"/>
      <c r="Q119" s="77"/>
      <c r="R119" s="77"/>
      <c r="S119" s="77"/>
      <c r="T119" s="98" t="s">
        <v>49</v>
      </c>
      <c r="V119" s="100">
        <f>MIN((C112+N112+Y112),(P2_Out_Deduct*P2_Out_FamMult))</f>
        <v>0</v>
      </c>
      <c r="W119" s="77"/>
      <c r="X119" s="77"/>
      <c r="Y119" s="77"/>
      <c r="Z119" s="77"/>
      <c r="AA119" s="77"/>
      <c r="AB119" s="77"/>
      <c r="AC119" s="77"/>
    </row>
    <row r="120" spans="2:34" ht="14.25" x14ac:dyDescent="0.2">
      <c r="B120" s="154"/>
      <c r="C120" s="163" t="s">
        <v>81</v>
      </c>
      <c r="D120" s="174">
        <f t="shared" si="0"/>
        <v>0</v>
      </c>
      <c r="E120" s="176">
        <f>'Plan Defn'!E$10</f>
        <v>6000</v>
      </c>
      <c r="F120" s="179">
        <f t="shared" si="1"/>
        <v>0</v>
      </c>
      <c r="G120" s="165" t="s">
        <v>95</v>
      </c>
      <c r="H120" s="171"/>
      <c r="I120" s="171"/>
      <c r="J120" s="171"/>
      <c r="K120" s="164" t="s">
        <v>98</v>
      </c>
      <c r="L120" s="175">
        <f>SUM(C94,N94,Y94)</f>
        <v>0</v>
      </c>
      <c r="N120" s="77"/>
      <c r="O120" s="77"/>
      <c r="P120" s="77"/>
      <c r="Q120" s="77"/>
      <c r="R120" s="77"/>
      <c r="S120" s="77"/>
      <c r="T120" s="77"/>
      <c r="U120" s="77"/>
      <c r="V120" s="77"/>
      <c r="W120" s="77"/>
      <c r="X120" s="77"/>
      <c r="Y120" s="77"/>
      <c r="Z120" s="77"/>
      <c r="AA120" s="77"/>
      <c r="AB120" s="77"/>
      <c r="AC120" s="77"/>
    </row>
    <row r="121" spans="2:34" ht="15.75" x14ac:dyDescent="0.25">
      <c r="B121" s="86"/>
      <c r="C121" s="163" t="s">
        <v>82</v>
      </c>
      <c r="D121" s="174">
        <f t="shared" si="0"/>
        <v>0</v>
      </c>
      <c r="E121" s="176">
        <f>'Plan Defn'!E$10</f>
        <v>6000</v>
      </c>
      <c r="F121" s="179">
        <f t="shared" si="1"/>
        <v>0</v>
      </c>
      <c r="G121" s="165" t="s">
        <v>95</v>
      </c>
      <c r="H121" s="58"/>
      <c r="I121" s="58"/>
      <c r="J121" s="58"/>
      <c r="K121" s="164" t="s">
        <v>99</v>
      </c>
      <c r="L121" s="175">
        <f>C101</f>
        <v>0</v>
      </c>
      <c r="N121" s="85"/>
      <c r="O121" s="85"/>
      <c r="P121" s="85"/>
      <c r="Q121" s="85"/>
      <c r="R121" s="85"/>
      <c r="S121" s="85"/>
      <c r="T121" s="98" t="s">
        <v>44</v>
      </c>
      <c r="U121" s="98"/>
      <c r="V121" s="87">
        <f>MIN((C114+N114+Y114),(P2_In_OOPMax*P2_In_FamMult))</f>
        <v>0</v>
      </c>
      <c r="W121" s="85"/>
      <c r="X121" s="85"/>
      <c r="Y121" s="85"/>
      <c r="Z121" s="85"/>
      <c r="AA121" s="85"/>
      <c r="AB121" s="85"/>
      <c r="AC121" s="85"/>
    </row>
    <row r="122" spans="2:34" ht="15" x14ac:dyDescent="0.25">
      <c r="B122" s="86"/>
      <c r="C122" s="163" t="s">
        <v>83</v>
      </c>
      <c r="D122" s="174">
        <f t="shared" si="0"/>
        <v>0</v>
      </c>
      <c r="E122" s="176">
        <f>'Plan Defn'!E$10</f>
        <v>6000</v>
      </c>
      <c r="F122" s="179">
        <f t="shared" si="1"/>
        <v>0</v>
      </c>
      <c r="G122" s="165" t="s">
        <v>95</v>
      </c>
      <c r="H122" s="171"/>
      <c r="I122" s="171"/>
      <c r="J122" s="171"/>
      <c r="K122" s="171"/>
      <c r="L122" s="171"/>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4.25" x14ac:dyDescent="0.2">
      <c r="B123" s="77"/>
      <c r="C123" s="163" t="s">
        <v>84</v>
      </c>
      <c r="D123" s="174">
        <f t="shared" si="0"/>
        <v>0</v>
      </c>
      <c r="E123" s="176">
        <f>'Plan Defn'!E$10</f>
        <v>6000</v>
      </c>
      <c r="F123" s="179">
        <f t="shared" si="1"/>
        <v>0</v>
      </c>
      <c r="G123" s="165" t="s">
        <v>95</v>
      </c>
      <c r="H123" s="171"/>
      <c r="I123" s="171"/>
      <c r="J123" s="171"/>
      <c r="K123" s="171"/>
      <c r="L123" s="171"/>
      <c r="M123" s="77"/>
      <c r="N123" s="77"/>
      <c r="O123" s="77"/>
      <c r="P123" s="77"/>
      <c r="Q123" s="77"/>
      <c r="R123" s="77"/>
      <c r="S123" s="77"/>
      <c r="T123" s="77"/>
      <c r="U123" s="77"/>
      <c r="V123" s="77"/>
      <c r="W123" s="77"/>
      <c r="X123" s="77"/>
      <c r="Y123" s="77"/>
      <c r="Z123" s="77"/>
      <c r="AA123" s="77"/>
      <c r="AB123" s="77"/>
      <c r="AC123" s="77"/>
    </row>
    <row r="124" spans="2:34" ht="15.75" x14ac:dyDescent="0.25">
      <c r="B124" s="63"/>
      <c r="C124" s="243" t="s">
        <v>3</v>
      </c>
      <c r="D124" s="243"/>
      <c r="E124" s="243"/>
      <c r="F124" s="243"/>
      <c r="G124" s="243"/>
      <c r="H124" s="243"/>
      <c r="I124" s="243"/>
      <c r="J124" s="243"/>
      <c r="K124" s="243"/>
      <c r="L124" s="64"/>
      <c r="M124" s="65"/>
      <c r="N124" s="243" t="s">
        <v>4</v>
      </c>
      <c r="O124" s="243"/>
      <c r="P124" s="243"/>
      <c r="Q124" s="243"/>
      <c r="R124" s="243"/>
      <c r="S124" s="243"/>
      <c r="T124" s="243"/>
      <c r="U124" s="243"/>
      <c r="V124" s="243"/>
      <c r="W124" s="64"/>
      <c r="X124" s="65"/>
      <c r="Y124" s="243" t="s">
        <v>7</v>
      </c>
      <c r="Z124" s="243"/>
      <c r="AA124" s="243"/>
      <c r="AB124" s="243"/>
      <c r="AC124" s="243"/>
      <c r="AD124" s="243"/>
      <c r="AE124" s="243"/>
      <c r="AF124" s="243"/>
      <c r="AG124" s="243"/>
      <c r="AH124" s="243"/>
    </row>
    <row r="125" spans="2:34" ht="15.75" x14ac:dyDescent="0.25">
      <c r="B125" s="63"/>
      <c r="C125" s="244" t="s">
        <v>18</v>
      </c>
      <c r="D125" s="244"/>
      <c r="E125" s="244" t="s">
        <v>19</v>
      </c>
      <c r="F125" s="244"/>
      <c r="G125" s="245" t="s">
        <v>20</v>
      </c>
      <c r="H125" s="245"/>
      <c r="I125" s="244" t="s">
        <v>21</v>
      </c>
      <c r="J125" s="244"/>
      <c r="K125" s="244" t="s">
        <v>22</v>
      </c>
      <c r="L125" s="244"/>
      <c r="M125" s="65"/>
      <c r="N125" s="244" t="s">
        <v>18</v>
      </c>
      <c r="O125" s="244"/>
      <c r="P125" s="244" t="s">
        <v>19</v>
      </c>
      <c r="Q125" s="244"/>
      <c r="R125" s="245" t="s">
        <v>20</v>
      </c>
      <c r="S125" s="245"/>
      <c r="T125" s="244" t="s">
        <v>21</v>
      </c>
      <c r="U125" s="244"/>
      <c r="V125" s="244" t="s">
        <v>22</v>
      </c>
      <c r="W125" s="244"/>
      <c r="X125" s="65"/>
      <c r="Y125" s="244" t="s">
        <v>18</v>
      </c>
      <c r="Z125" s="244"/>
      <c r="AA125" s="244" t="s">
        <v>19</v>
      </c>
      <c r="AB125" s="244"/>
      <c r="AC125" s="245" t="s">
        <v>20</v>
      </c>
      <c r="AD125" s="245"/>
      <c r="AE125" s="244" t="s">
        <v>21</v>
      </c>
      <c r="AF125" s="244"/>
      <c r="AG125" s="244" t="s">
        <v>22</v>
      </c>
      <c r="AH125" s="244"/>
    </row>
    <row r="126" spans="2:34" ht="14.25" x14ac:dyDescent="0.2">
      <c r="B126" s="66"/>
      <c r="C126" s="242" t="s">
        <v>23</v>
      </c>
      <c r="D126" s="242"/>
      <c r="E126" s="242" t="s">
        <v>23</v>
      </c>
      <c r="F126" s="242"/>
      <c r="G126" s="242" t="s">
        <v>23</v>
      </c>
      <c r="H126" s="242"/>
      <c r="I126" s="242" t="s">
        <v>23</v>
      </c>
      <c r="J126" s="242"/>
      <c r="K126" s="242" t="s">
        <v>23</v>
      </c>
      <c r="L126" s="242"/>
      <c r="M126" s="68"/>
      <c r="N126" s="242" t="s">
        <v>23</v>
      </c>
      <c r="O126" s="242"/>
      <c r="P126" s="242" t="s">
        <v>23</v>
      </c>
      <c r="Q126" s="242"/>
      <c r="R126" s="242" t="s">
        <v>23</v>
      </c>
      <c r="S126" s="242"/>
      <c r="T126" s="242" t="s">
        <v>23</v>
      </c>
      <c r="U126" s="242"/>
      <c r="V126" s="242" t="s">
        <v>23</v>
      </c>
      <c r="W126" s="242"/>
      <c r="X126" s="68"/>
      <c r="Y126" s="242" t="s">
        <v>23</v>
      </c>
      <c r="Z126" s="242"/>
      <c r="AA126" s="242" t="s">
        <v>23</v>
      </c>
      <c r="AB126" s="242"/>
      <c r="AC126" s="242" t="s">
        <v>23</v>
      </c>
      <c r="AD126" s="242"/>
      <c r="AE126" s="242" t="s">
        <v>23</v>
      </c>
      <c r="AF126" s="242"/>
      <c r="AG126" s="242" t="s">
        <v>23</v>
      </c>
      <c r="AH126" s="242"/>
    </row>
    <row r="127" spans="2:34" ht="14.25" x14ac:dyDescent="0.2">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5"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5"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5"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5"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5"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5"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5"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5"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5" x14ac:dyDescent="0.25">
      <c r="B136" s="74" t="s">
        <v>28</v>
      </c>
      <c r="C136" s="72">
        <f>'Plan Comparison Calculator'!$G$19*P3_In_OV</f>
        <v>0</v>
      </c>
      <c r="D136" s="73"/>
      <c r="E136" s="72">
        <f>'Plan Comparison Calculator'!$G$19*Primary_Office-C136</f>
        <v>0</v>
      </c>
      <c r="F136" s="73"/>
      <c r="G136" s="72">
        <f>'Plan Comparison Calculator'!$G$19*Primary_XrayLab</f>
        <v>0</v>
      </c>
      <c r="H136" s="73"/>
      <c r="I136" s="72"/>
      <c r="J136" s="73"/>
      <c r="K136" s="72"/>
      <c r="L136" s="73"/>
      <c r="M136" s="68"/>
      <c r="N136" s="72">
        <f>'Plan Comparison Calculator'!$I$19*P3_In_OV</f>
        <v>0</v>
      </c>
      <c r="O136" s="73"/>
      <c r="P136" s="72">
        <f>'Plan Comparison Calculator'!$I$19*Primary_Office-N136</f>
        <v>0</v>
      </c>
      <c r="Q136" s="73"/>
      <c r="R136" s="72">
        <f>'Plan Comparison Calculator'!$I$19*Primary_XrayLab</f>
        <v>0</v>
      </c>
      <c r="S136" s="73"/>
      <c r="T136" s="72"/>
      <c r="U136" s="73"/>
      <c r="V136" s="72"/>
      <c r="W136" s="73"/>
      <c r="X136" s="68"/>
      <c r="Y136" s="72">
        <f>'Plan Comparison Calculator'!$J$19*P3_In_OV</f>
        <v>0</v>
      </c>
      <c r="Z136" s="73"/>
      <c r="AA136" s="72">
        <f>'Plan Comparison Calculator'!$J$19*Primary_Office-Y136</f>
        <v>0</v>
      </c>
      <c r="AB136" s="73"/>
      <c r="AC136" s="72">
        <f>'Plan Comparison Calculator'!$J$19*Primary_XrayLab</f>
        <v>0</v>
      </c>
      <c r="AD136" s="73"/>
      <c r="AE136" s="72"/>
      <c r="AF136" s="73"/>
      <c r="AG136" s="72"/>
      <c r="AH136" s="73"/>
    </row>
    <row r="137" spans="1:34" ht="15"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5" x14ac:dyDescent="0.25">
      <c r="A138" s="241" t="str">
        <f>P3_Plan</f>
        <v>Essentials/Core</v>
      </c>
      <c r="B138" s="74" t="s">
        <v>29</v>
      </c>
      <c r="C138" s="72">
        <f>'Plan Comparison Calculator'!$G$21*P3_In_OV</f>
        <v>0</v>
      </c>
      <c r="D138" s="73"/>
      <c r="E138" s="72">
        <f>Specialist_Office*'Plan Comparison Calculator'!$G$21-C138</f>
        <v>0</v>
      </c>
      <c r="F138" s="73"/>
      <c r="G138" s="72">
        <f>Specialist_XrayLab*'Plan Comparison Calculator'!$G$21</f>
        <v>0</v>
      </c>
      <c r="H138" s="73"/>
      <c r="I138" s="72"/>
      <c r="J138" s="73"/>
      <c r="K138" s="72"/>
      <c r="L138" s="73"/>
      <c r="M138" s="68"/>
      <c r="N138" s="72">
        <f>'Plan Comparison Calculator'!$I$21*P3_In_OV</f>
        <v>0</v>
      </c>
      <c r="O138" s="73"/>
      <c r="P138" s="72">
        <f>Specialist_Office*'Plan Comparison Calculator'!$I$21-N138</f>
        <v>0</v>
      </c>
      <c r="Q138" s="73"/>
      <c r="R138" s="72">
        <f>Specialist_XrayLab*'Plan Comparison Calculator'!$I$21</f>
        <v>0</v>
      </c>
      <c r="S138" s="73"/>
      <c r="T138" s="72"/>
      <c r="U138" s="73"/>
      <c r="V138" s="72"/>
      <c r="W138" s="73"/>
      <c r="X138" s="68"/>
      <c r="Y138" s="72">
        <f>'Plan Comparison Calculator'!$J$21*P3_In_OV</f>
        <v>0</v>
      </c>
      <c r="Z138" s="73"/>
      <c r="AA138" s="72">
        <f>Specialist_Office*'Plan Comparison Calculator'!$J$21-Y138</f>
        <v>0</v>
      </c>
      <c r="AB138" s="73"/>
      <c r="AC138" s="72">
        <f>Specialist_XrayLab*'Plan Comparison Calculator'!$J$21</f>
        <v>0</v>
      </c>
      <c r="AD138" s="73"/>
      <c r="AE138" s="72"/>
      <c r="AF138" s="73"/>
      <c r="AG138" s="72"/>
      <c r="AH138" s="73"/>
    </row>
    <row r="139" spans="1:34" ht="15" x14ac:dyDescent="0.25">
      <c r="A139" s="241"/>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5" x14ac:dyDescent="0.25">
      <c r="A140" s="241"/>
      <c r="B140" s="74" t="s">
        <v>30</v>
      </c>
      <c r="C140" s="72">
        <f>'Plan Comparison Calculator'!$G$23*P3_In_ER</f>
        <v>0</v>
      </c>
      <c r="D140" s="73"/>
      <c r="E140" s="72"/>
      <c r="F140" s="73"/>
      <c r="G140" s="72"/>
      <c r="H140" s="73"/>
      <c r="I140" s="72">
        <f>ER*'Plan Comparison Calculator'!$G$23-C140</f>
        <v>0</v>
      </c>
      <c r="J140" s="73"/>
      <c r="K140" s="72"/>
      <c r="L140" s="73"/>
      <c r="M140" s="68"/>
      <c r="N140" s="72">
        <f>'Plan Comparison Calculator'!$I$23*P3_In_ER</f>
        <v>0</v>
      </c>
      <c r="O140" s="73"/>
      <c r="P140" s="72"/>
      <c r="Q140" s="73"/>
      <c r="R140" s="72"/>
      <c r="S140" s="73"/>
      <c r="T140" s="72">
        <f>ER*'Plan Comparison Calculator'!$I$23-N140</f>
        <v>0</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5" x14ac:dyDescent="0.25">
      <c r="A141" s="241"/>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5" x14ac:dyDescent="0.25">
      <c r="A142" s="241"/>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0</v>
      </c>
      <c r="AD142" s="73"/>
      <c r="AE142" s="72"/>
      <c r="AF142" s="73"/>
      <c r="AG142" s="72"/>
      <c r="AH142" s="73"/>
    </row>
    <row r="143" spans="1:34" ht="15" x14ac:dyDescent="0.25">
      <c r="A143" s="241"/>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5" x14ac:dyDescent="0.25">
      <c r="A144" s="241"/>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5" x14ac:dyDescent="0.25">
      <c r="A145" s="241"/>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5" x14ac:dyDescent="0.25">
      <c r="A146" s="241"/>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5" x14ac:dyDescent="0.25">
      <c r="A147" s="241"/>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5" x14ac:dyDescent="0.25">
      <c r="A148" s="241"/>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5" x14ac:dyDescent="0.25">
      <c r="A149" s="241"/>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5" x14ac:dyDescent="0.25">
      <c r="A150" s="241"/>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5" x14ac:dyDescent="0.25">
      <c r="A151" s="241"/>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5" x14ac:dyDescent="0.25">
      <c r="A152" s="241"/>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5" x14ac:dyDescent="0.25">
      <c r="A153" s="241"/>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5" x14ac:dyDescent="0.25">
      <c r="A154" s="241"/>
      <c r="B154" s="66"/>
      <c r="C154" s="70">
        <f>SUM(C134:C150,C128)</f>
        <v>0</v>
      </c>
      <c r="D154" s="71"/>
      <c r="E154" s="70">
        <f>SUM(E136:E150,E128)</f>
        <v>0</v>
      </c>
      <c r="F154" s="71"/>
      <c r="G154" s="70">
        <f>MAX(SUM(G128:G146)-P3_In_LabMax,0)+SUM(G149:G150)</f>
        <v>0</v>
      </c>
      <c r="H154" s="71"/>
      <c r="I154" s="70">
        <f>SUM(I136:I150,I128)</f>
        <v>0</v>
      </c>
      <c r="J154" s="71"/>
      <c r="K154" s="70">
        <f>SUM(K136:K150,K128)</f>
        <v>0</v>
      </c>
      <c r="L154" s="71"/>
      <c r="M154" s="68"/>
      <c r="N154" s="70">
        <f>SUM(N134:N150,N128)</f>
        <v>0</v>
      </c>
      <c r="O154" s="71"/>
      <c r="P154" s="70">
        <f>SUM(P136:P150,P128)</f>
        <v>0</v>
      </c>
      <c r="Q154" s="71"/>
      <c r="R154" s="70">
        <f>MAX(SUM(R128:R146)-P3_In_LabMax,0)+SUM(R149:R150)</f>
        <v>0</v>
      </c>
      <c r="S154" s="71"/>
      <c r="T154" s="70">
        <f>SUM(T136:T150,T128)</f>
        <v>0</v>
      </c>
      <c r="U154" s="71"/>
      <c r="V154" s="70">
        <f>SUM(V136:V150,V128)</f>
        <v>0</v>
      </c>
      <c r="W154" s="71"/>
      <c r="X154" s="68"/>
      <c r="Y154" s="70">
        <f>SUM(Y134:Y150,Y128)</f>
        <v>0</v>
      </c>
      <c r="Z154" s="71"/>
      <c r="AA154" s="70">
        <f>SUM(AA136:AA150,AA128)</f>
        <v>0</v>
      </c>
      <c r="AB154" s="71"/>
      <c r="AC154" s="70">
        <f>MAX(SUM(AC128:AC146)-P3_In_LabMax,0)+SUM(AC149:AC150)</f>
        <v>0</v>
      </c>
      <c r="AD154" s="71"/>
      <c r="AE154" s="70">
        <f>SUM(AE136:AE150,AE128)</f>
        <v>0</v>
      </c>
      <c r="AF154" s="71"/>
      <c r="AG154" s="70">
        <f>SUM(AG136:AG150,AG128)</f>
        <v>0</v>
      </c>
      <c r="AH154" s="71"/>
    </row>
    <row r="155" spans="1:34" ht="14.25" x14ac:dyDescent="0.2">
      <c r="A155" s="241"/>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5" x14ac:dyDescent="0.25">
      <c r="A156" s="241"/>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4.25" x14ac:dyDescent="0.2">
      <c r="A157" s="241"/>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4.25" x14ac:dyDescent="0.2">
      <c r="A158" s="241"/>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4.25" x14ac:dyDescent="0.2">
      <c r="A159" s="241"/>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4.25" x14ac:dyDescent="0.2">
      <c r="A160" s="241"/>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75" x14ac:dyDescent="0.25">
      <c r="A161" s="241"/>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4.25" x14ac:dyDescent="0.2">
      <c r="A162" s="241"/>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4.25" x14ac:dyDescent="0.2">
      <c r="A163" s="241"/>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75" x14ac:dyDescent="0.25">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5" x14ac:dyDescent="0.25">
      <c r="A165" s="102"/>
      <c r="B165" s="86"/>
      <c r="C165" s="87">
        <f>SUM(C154:D154)</f>
        <v>0</v>
      </c>
      <c r="D165" s="88"/>
      <c r="E165" s="80" t="s">
        <v>38</v>
      </c>
      <c r="F165" s="80"/>
      <c r="G165" s="75"/>
      <c r="H165" s="75"/>
      <c r="I165" s="75"/>
      <c r="J165" s="75"/>
      <c r="K165" s="75"/>
      <c r="L165" s="75"/>
      <c r="M165" s="89"/>
      <c r="N165" s="87">
        <f>SUM(N154:O154)*T$2</f>
        <v>0</v>
      </c>
      <c r="O165" s="90"/>
      <c r="P165" s="80" t="s">
        <v>38</v>
      </c>
      <c r="Q165" s="80"/>
      <c r="R165" s="91"/>
      <c r="S165" s="91"/>
      <c r="T165" s="91"/>
      <c r="U165" s="91"/>
      <c r="V165" s="91"/>
      <c r="W165" s="91"/>
      <c r="X165" s="89"/>
      <c r="Y165" s="87">
        <f>SUM(Y154:Z154)*AE$2</f>
        <v>0</v>
      </c>
      <c r="Z165" s="88"/>
      <c r="AA165" s="80" t="s">
        <v>38</v>
      </c>
      <c r="AB165" s="91"/>
      <c r="AC165" s="91"/>
    </row>
    <row r="166" spans="1:29" ht="15" x14ac:dyDescent="0.25">
      <c r="A166" s="102"/>
      <c r="B166" s="86"/>
      <c r="C166" s="70">
        <f>E154+G154+I154+K154</f>
        <v>0</v>
      </c>
      <c r="D166" s="75"/>
      <c r="E166" s="92" t="s">
        <v>39</v>
      </c>
      <c r="F166" s="80"/>
      <c r="G166" s="75"/>
      <c r="H166" s="75"/>
      <c r="I166" s="75"/>
      <c r="J166" s="75"/>
      <c r="K166" s="75"/>
      <c r="L166" s="75"/>
      <c r="M166" s="89"/>
      <c r="N166" s="70">
        <f>(P154+R154+T154+V154)*T$2</f>
        <v>0</v>
      </c>
      <c r="O166" s="75"/>
      <c r="P166" s="92" t="s">
        <v>39</v>
      </c>
      <c r="Q166" s="80"/>
      <c r="R166" s="91"/>
      <c r="S166" s="91"/>
      <c r="T166" s="91"/>
      <c r="U166" s="91"/>
      <c r="V166" s="91"/>
      <c r="W166" s="91"/>
      <c r="X166" s="89"/>
      <c r="Y166" s="70">
        <f>(AA154+AC154+AE154+AG154)*AE$2</f>
        <v>0</v>
      </c>
      <c r="Z166" s="75"/>
      <c r="AA166" s="92" t="s">
        <v>39</v>
      </c>
      <c r="AB166" s="91"/>
      <c r="AC166" s="91"/>
    </row>
    <row r="167" spans="1:29" ht="15"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5" x14ac:dyDescent="0.25">
      <c r="A168" s="102"/>
      <c r="B168" s="86"/>
      <c r="C168" s="70">
        <f>E154+G154+I154+K154</f>
        <v>0</v>
      </c>
      <c r="D168" s="75"/>
      <c r="E168" s="92" t="s">
        <v>40</v>
      </c>
      <c r="F168" s="80"/>
      <c r="G168" s="75"/>
      <c r="H168" s="75"/>
      <c r="I168" s="75"/>
      <c r="J168" s="75"/>
      <c r="K168" s="75"/>
      <c r="L168" s="75"/>
      <c r="M168" s="89"/>
      <c r="N168" s="70">
        <f>(P154+R154+T154+V154)*T$2</f>
        <v>0</v>
      </c>
      <c r="O168" s="75"/>
      <c r="P168" s="92" t="s">
        <v>40</v>
      </c>
      <c r="Q168" s="80"/>
      <c r="R168" s="91"/>
      <c r="S168" s="91"/>
      <c r="T168" s="91"/>
      <c r="U168" s="91"/>
      <c r="V168" s="91"/>
      <c r="W168" s="91"/>
      <c r="X168" s="89"/>
      <c r="Y168" s="70">
        <f>(AA154+AC154+AE154+AG154)*AE$2</f>
        <v>0</v>
      </c>
      <c r="Z168" s="75"/>
      <c r="AA168" s="92" t="s">
        <v>40</v>
      </c>
      <c r="AB168" s="91"/>
      <c r="AC168" s="91"/>
    </row>
    <row r="169" spans="1:29" ht="15"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5"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5" x14ac:dyDescent="0.25">
      <c r="A171" s="102"/>
      <c r="B171" s="86"/>
      <c r="C171" s="72">
        <f>MIN(C166,P3_In_Deduct)</f>
        <v>0</v>
      </c>
      <c r="D171" s="88"/>
      <c r="E171" s="94" t="s">
        <v>41</v>
      </c>
      <c r="G171" s="67"/>
      <c r="H171" s="67"/>
      <c r="I171" s="67"/>
      <c r="J171" s="67"/>
      <c r="K171" s="67"/>
      <c r="L171" s="67"/>
      <c r="M171" s="77"/>
      <c r="N171" s="72">
        <f>MIN(N166,P3_In_Deduct)</f>
        <v>0</v>
      </c>
      <c r="O171" s="88"/>
      <c r="P171" s="94" t="s">
        <v>41</v>
      </c>
      <c r="Q171" s="77"/>
      <c r="R171" s="77"/>
      <c r="S171" s="77"/>
      <c r="T171" s="77"/>
      <c r="U171" s="77"/>
      <c r="V171" s="77"/>
      <c r="W171" s="77"/>
      <c r="X171" s="77"/>
      <c r="Y171" s="72">
        <f>MIN(Y166,P3_In_Deduct)</f>
        <v>0</v>
      </c>
      <c r="Z171" s="88"/>
      <c r="AA171" s="94" t="s">
        <v>41</v>
      </c>
      <c r="AB171" s="77"/>
      <c r="AC171" s="77"/>
    </row>
    <row r="172" spans="1:29" ht="15"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5"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5"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0</v>
      </c>
      <c r="O174" s="88"/>
      <c r="P174" s="92" t="s">
        <v>42</v>
      </c>
      <c r="Q174" s="77"/>
      <c r="R174" s="77"/>
      <c r="S174" s="77"/>
      <c r="W174" s="88"/>
      <c r="X174" s="77"/>
      <c r="Y174" s="72">
        <f>IF(Y168&gt;=Y171,MIN((Y168-Y171)*(1-P3_In_Coins),P3_In_OOPMax),0)</f>
        <v>0</v>
      </c>
      <c r="Z174" s="88"/>
      <c r="AA174" s="92" t="s">
        <v>42</v>
      </c>
      <c r="AB174" s="77"/>
      <c r="AC174" s="77"/>
    </row>
    <row r="175" spans="1:29" ht="15.75" x14ac:dyDescent="0.25">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5"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5" x14ac:dyDescent="0.25">
      <c r="A177" s="102"/>
      <c r="B177" s="86"/>
      <c r="C177" s="171"/>
      <c r="D177" s="164" t="s">
        <v>92</v>
      </c>
      <c r="E177" s="172" t="s">
        <v>93</v>
      </c>
      <c r="F177" s="165" t="s">
        <v>94</v>
      </c>
      <c r="G177" s="173"/>
      <c r="H177" s="171"/>
      <c r="I177" s="171"/>
      <c r="J177" s="171"/>
      <c r="K177" s="171"/>
      <c r="L177" s="171"/>
      <c r="M177" s="77"/>
      <c r="N177" s="77"/>
      <c r="O177" s="77"/>
      <c r="P177" s="77"/>
      <c r="Q177" s="77"/>
      <c r="R177" s="77"/>
      <c r="S177" s="77"/>
      <c r="T177" s="77"/>
      <c r="U177" s="77"/>
      <c r="V177" s="77"/>
      <c r="W177" s="77"/>
      <c r="X177" s="77"/>
      <c r="Y177" s="77"/>
      <c r="Z177" s="77"/>
      <c r="AA177" s="77"/>
      <c r="AB177" s="77"/>
      <c r="AC177" s="77"/>
    </row>
    <row r="178" spans="1:34" ht="15.75" x14ac:dyDescent="0.25">
      <c r="A178" s="102"/>
      <c r="B178" s="86"/>
      <c r="C178" s="163" t="s">
        <v>1</v>
      </c>
      <c r="D178" s="174">
        <f t="shared" ref="D178:D183" si="2">IF(F178&lt;E178,F178,E178)</f>
        <v>0</v>
      </c>
      <c r="E178" s="177">
        <f>'Plan Defn'!H9</f>
        <v>3000</v>
      </c>
      <c r="F178" s="178">
        <f t="shared" ref="F178:F183" si="3">SUM(L$178:L$181)</f>
        <v>0</v>
      </c>
      <c r="G178" s="165" t="s">
        <v>95</v>
      </c>
      <c r="H178" s="58"/>
      <c r="I178" s="58"/>
      <c r="J178" s="58"/>
      <c r="K178" s="164" t="s">
        <v>96</v>
      </c>
      <c r="L178" s="175">
        <f>V178</f>
        <v>0</v>
      </c>
      <c r="M178" s="85"/>
      <c r="N178" s="85"/>
      <c r="O178" s="85"/>
      <c r="P178" s="85"/>
      <c r="Q178" s="85"/>
      <c r="R178" s="85"/>
      <c r="S178" s="85"/>
      <c r="T178" s="98" t="s">
        <v>43</v>
      </c>
      <c r="U178" s="98"/>
      <c r="V178" s="99">
        <f>MIN((C171+N171+Y171),(P3_In_Deduct*P3_In_FamMult))</f>
        <v>0</v>
      </c>
      <c r="W178" s="85"/>
      <c r="X178" s="85"/>
      <c r="Y178" s="85"/>
      <c r="Z178" s="85"/>
      <c r="AA178" s="85"/>
      <c r="AB178" s="85"/>
      <c r="AC178" s="85"/>
    </row>
    <row r="179" spans="1:34" ht="15" x14ac:dyDescent="0.25">
      <c r="A179" s="102"/>
      <c r="B179" s="86"/>
      <c r="C179" s="163" t="s">
        <v>80</v>
      </c>
      <c r="D179" s="174">
        <f t="shared" si="2"/>
        <v>0</v>
      </c>
      <c r="E179" s="176">
        <f>'Plan Defn'!H$10</f>
        <v>6000</v>
      </c>
      <c r="F179" s="178">
        <f t="shared" si="3"/>
        <v>0</v>
      </c>
      <c r="G179" s="165" t="s">
        <v>95</v>
      </c>
      <c r="H179" s="171"/>
      <c r="I179" s="171"/>
      <c r="J179" s="171"/>
      <c r="K179" s="164" t="s">
        <v>97</v>
      </c>
      <c r="L179" s="175">
        <f>V181</f>
        <v>0</v>
      </c>
      <c r="M179" s="77"/>
      <c r="N179" s="77"/>
      <c r="O179" s="77"/>
      <c r="P179" s="77"/>
      <c r="Q179" s="77"/>
      <c r="R179" s="77"/>
      <c r="S179" s="77"/>
      <c r="T179" s="98" t="s">
        <v>49</v>
      </c>
      <c r="V179" s="100"/>
      <c r="W179" s="77"/>
      <c r="X179" s="77"/>
      <c r="Y179" s="77"/>
      <c r="Z179" s="77"/>
      <c r="AA179" s="77"/>
      <c r="AB179" s="77"/>
      <c r="AC179" s="77"/>
    </row>
    <row r="180" spans="1:34" ht="15" x14ac:dyDescent="0.25">
      <c r="A180" s="102"/>
      <c r="B180" s="86"/>
      <c r="C180" s="163" t="s">
        <v>81</v>
      </c>
      <c r="D180" s="174">
        <f t="shared" si="2"/>
        <v>0</v>
      </c>
      <c r="E180" s="176">
        <f>'Plan Defn'!H$10</f>
        <v>6000</v>
      </c>
      <c r="F180" s="178">
        <f t="shared" si="3"/>
        <v>0</v>
      </c>
      <c r="G180" s="165" t="s">
        <v>95</v>
      </c>
      <c r="H180" s="171"/>
      <c r="I180" s="171"/>
      <c r="J180" s="171"/>
      <c r="K180" s="164" t="s">
        <v>98</v>
      </c>
      <c r="L180" s="175">
        <f>SUM(C154,N154,Y154)</f>
        <v>0</v>
      </c>
      <c r="M180" s="77"/>
      <c r="N180" s="77"/>
      <c r="O180" s="77"/>
      <c r="P180" s="77"/>
      <c r="Q180" s="77"/>
      <c r="R180" s="77"/>
      <c r="S180" s="77"/>
      <c r="T180" s="77"/>
      <c r="U180" s="77"/>
      <c r="V180" s="77"/>
      <c r="W180" s="77"/>
      <c r="X180" s="77"/>
      <c r="Y180" s="77"/>
      <c r="Z180" s="77"/>
      <c r="AA180" s="77"/>
      <c r="AB180" s="77"/>
      <c r="AC180" s="77"/>
    </row>
    <row r="181" spans="1:34" ht="15.75" x14ac:dyDescent="0.25">
      <c r="A181" s="102"/>
      <c r="B181" s="86"/>
      <c r="C181" s="163" t="s">
        <v>82</v>
      </c>
      <c r="D181" s="174">
        <f t="shared" si="2"/>
        <v>0</v>
      </c>
      <c r="E181" s="176">
        <f>'Plan Defn'!H$10</f>
        <v>6000</v>
      </c>
      <c r="F181" s="178">
        <f t="shared" si="3"/>
        <v>0</v>
      </c>
      <c r="G181" s="165" t="s">
        <v>95</v>
      </c>
      <c r="H181" s="58"/>
      <c r="I181" s="58"/>
      <c r="J181" s="58"/>
      <c r="K181" s="164" t="s">
        <v>99</v>
      </c>
      <c r="L181" s="175">
        <f>C161</f>
        <v>0</v>
      </c>
      <c r="M181" s="85"/>
      <c r="N181" s="85"/>
      <c r="O181" s="85"/>
      <c r="P181" s="85"/>
      <c r="Q181" s="85"/>
      <c r="R181" s="85"/>
      <c r="S181" s="85"/>
      <c r="T181" s="98" t="s">
        <v>44</v>
      </c>
      <c r="U181" s="98"/>
      <c r="V181" s="99">
        <f>MIN((C174+N174+Y174),(P3_In_OOPMax*P3_In_FamMult))</f>
        <v>0</v>
      </c>
      <c r="W181" s="85"/>
      <c r="X181" s="85"/>
      <c r="Y181" s="85"/>
      <c r="Z181" s="85"/>
      <c r="AA181" s="85"/>
      <c r="AB181" s="85"/>
      <c r="AC181" s="85"/>
    </row>
    <row r="182" spans="1:34" ht="15" x14ac:dyDescent="0.25">
      <c r="A182" s="102"/>
      <c r="B182" s="86"/>
      <c r="C182" s="163" t="s">
        <v>83</v>
      </c>
      <c r="D182" s="174">
        <f t="shared" si="2"/>
        <v>0</v>
      </c>
      <c r="E182" s="176">
        <f>'Plan Defn'!H$10</f>
        <v>6000</v>
      </c>
      <c r="F182" s="178">
        <f t="shared" si="3"/>
        <v>0</v>
      </c>
      <c r="G182" s="165" t="s">
        <v>95</v>
      </c>
      <c r="H182" s="171"/>
      <c r="I182" s="171"/>
      <c r="J182" s="171"/>
      <c r="K182" s="171"/>
      <c r="L182" s="171"/>
      <c r="M182" s="77"/>
      <c r="N182" s="77"/>
      <c r="O182" s="77"/>
      <c r="P182" s="77"/>
      <c r="Q182" s="77"/>
      <c r="R182" s="77"/>
      <c r="S182" s="77"/>
      <c r="T182" s="98" t="s">
        <v>50</v>
      </c>
      <c r="U182" s="77"/>
      <c r="V182" s="87"/>
      <c r="W182" s="77"/>
      <c r="X182" s="77"/>
      <c r="Y182" s="77"/>
      <c r="Z182" s="77"/>
      <c r="AA182" s="77"/>
      <c r="AB182" s="77"/>
      <c r="AC182" s="77"/>
    </row>
    <row r="183" spans="1:34" x14ac:dyDescent="0.2">
      <c r="C183" s="163" t="s">
        <v>84</v>
      </c>
      <c r="D183" s="174">
        <f t="shared" si="2"/>
        <v>0</v>
      </c>
      <c r="E183" s="176">
        <f>'Plan Defn'!H$10</f>
        <v>6000</v>
      </c>
      <c r="F183" s="178">
        <f t="shared" si="3"/>
        <v>0</v>
      </c>
      <c r="G183" s="165" t="s">
        <v>95</v>
      </c>
      <c r="H183" s="171"/>
      <c r="I183" s="171"/>
      <c r="J183" s="171"/>
      <c r="K183" s="171"/>
      <c r="L183" s="171"/>
    </row>
    <row r="184" spans="1:34" ht="15.75" x14ac:dyDescent="0.25">
      <c r="B184" s="63"/>
      <c r="C184" s="243" t="s">
        <v>3</v>
      </c>
      <c r="D184" s="243"/>
      <c r="E184" s="243"/>
      <c r="F184" s="243"/>
      <c r="G184" s="243"/>
      <c r="H184" s="243"/>
      <c r="I184" s="243"/>
      <c r="J184" s="243"/>
      <c r="K184" s="243"/>
      <c r="L184" s="64"/>
      <c r="M184" s="65"/>
      <c r="N184" s="243" t="s">
        <v>4</v>
      </c>
      <c r="O184" s="243"/>
      <c r="P184" s="243"/>
      <c r="Q184" s="243"/>
      <c r="R184" s="243"/>
      <c r="S184" s="243"/>
      <c r="T184" s="243"/>
      <c r="U184" s="243"/>
      <c r="V184" s="243"/>
      <c r="W184" s="64"/>
      <c r="X184" s="65"/>
      <c r="Y184" s="243" t="s">
        <v>7</v>
      </c>
      <c r="Z184" s="243"/>
      <c r="AA184" s="243"/>
      <c r="AB184" s="243"/>
      <c r="AC184" s="243"/>
      <c r="AD184" s="243"/>
      <c r="AE184" s="243"/>
      <c r="AF184" s="243"/>
      <c r="AG184" s="243"/>
      <c r="AH184" s="243"/>
    </row>
    <row r="185" spans="1:34" ht="15.75" x14ac:dyDescent="0.25">
      <c r="B185" s="63"/>
      <c r="C185" s="244" t="s">
        <v>18</v>
      </c>
      <c r="D185" s="244"/>
      <c r="E185" s="244" t="s">
        <v>19</v>
      </c>
      <c r="F185" s="244"/>
      <c r="G185" s="245" t="s">
        <v>20</v>
      </c>
      <c r="H185" s="245"/>
      <c r="I185" s="244" t="s">
        <v>21</v>
      </c>
      <c r="J185" s="244"/>
      <c r="K185" s="244" t="s">
        <v>22</v>
      </c>
      <c r="L185" s="244"/>
      <c r="M185" s="65"/>
      <c r="N185" s="244" t="s">
        <v>18</v>
      </c>
      <c r="O185" s="244"/>
      <c r="P185" s="244" t="s">
        <v>19</v>
      </c>
      <c r="Q185" s="244"/>
      <c r="R185" s="245" t="s">
        <v>20</v>
      </c>
      <c r="S185" s="245"/>
      <c r="T185" s="244" t="s">
        <v>21</v>
      </c>
      <c r="U185" s="244"/>
      <c r="V185" s="244" t="s">
        <v>22</v>
      </c>
      <c r="W185" s="244"/>
      <c r="X185" s="65"/>
      <c r="Y185" s="244" t="s">
        <v>18</v>
      </c>
      <c r="Z185" s="244"/>
      <c r="AA185" s="244" t="s">
        <v>19</v>
      </c>
      <c r="AB185" s="244"/>
      <c r="AC185" s="245" t="s">
        <v>20</v>
      </c>
      <c r="AD185" s="245"/>
      <c r="AE185" s="244" t="s">
        <v>21</v>
      </c>
      <c r="AF185" s="244"/>
      <c r="AG185" s="244" t="s">
        <v>22</v>
      </c>
      <c r="AH185" s="244"/>
    </row>
    <row r="186" spans="1:34" ht="14.25" x14ac:dyDescent="0.2">
      <c r="B186" s="66"/>
      <c r="C186" s="242" t="s">
        <v>23</v>
      </c>
      <c r="D186" s="242"/>
      <c r="E186" s="242" t="s">
        <v>23</v>
      </c>
      <c r="F186" s="242"/>
      <c r="G186" s="242" t="s">
        <v>23</v>
      </c>
      <c r="H186" s="242"/>
      <c r="I186" s="242" t="s">
        <v>23</v>
      </c>
      <c r="J186" s="242"/>
      <c r="K186" s="242" t="s">
        <v>23</v>
      </c>
      <c r="L186" s="242"/>
      <c r="M186" s="68"/>
      <c r="N186" s="242" t="s">
        <v>23</v>
      </c>
      <c r="O186" s="242"/>
      <c r="P186" s="242" t="s">
        <v>23</v>
      </c>
      <c r="Q186" s="242"/>
      <c r="R186" s="242" t="s">
        <v>23</v>
      </c>
      <c r="S186" s="242"/>
      <c r="T186" s="242" t="s">
        <v>23</v>
      </c>
      <c r="U186" s="242"/>
      <c r="V186" s="242" t="s">
        <v>23</v>
      </c>
      <c r="W186" s="242"/>
      <c r="X186" s="68"/>
      <c r="Y186" s="242" t="s">
        <v>23</v>
      </c>
      <c r="Z186" s="242"/>
      <c r="AA186" s="242" t="s">
        <v>23</v>
      </c>
      <c r="AB186" s="242"/>
      <c r="AC186" s="242" t="s">
        <v>23</v>
      </c>
      <c r="AD186" s="242"/>
      <c r="AE186" s="242" t="s">
        <v>23</v>
      </c>
      <c r="AF186" s="242"/>
      <c r="AG186" s="242" t="s">
        <v>23</v>
      </c>
      <c r="AH186" s="242"/>
    </row>
    <row r="187" spans="1:34" ht="14.25" x14ac:dyDescent="0.2">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5"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5"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5"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5"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5"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5"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5"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5"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5" x14ac:dyDescent="0.25">
      <c r="B196" s="74" t="s">
        <v>28</v>
      </c>
      <c r="C196" s="72">
        <f>'Plan Comparison Calculator'!$G$19*P1_In_Ov</f>
        <v>0</v>
      </c>
      <c r="D196" s="73"/>
      <c r="E196" s="72">
        <f>'Plan Comparison Calculator'!$G$19*Primary_Office-C196</f>
        <v>0</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5"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5" x14ac:dyDescent="0.25">
      <c r="A198" s="241" t="str">
        <f>P1_Plan</f>
        <v>HSA HMO</v>
      </c>
      <c r="B198" s="74" t="s">
        <v>29</v>
      </c>
      <c r="C198" s="72">
        <f>'Plan Comparison Calculator'!$G$21*P1_In_Ov</f>
        <v>0</v>
      </c>
      <c r="D198" s="73"/>
      <c r="E198" s="72">
        <f>Specialist_Office*'Plan Comparison Calculator'!$G$21-C198</f>
        <v>0</v>
      </c>
      <c r="F198" s="73"/>
      <c r="G198" s="72">
        <f>Specialist_XrayLab*'Plan Comparison Calculator'!$G$21</f>
        <v>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5" x14ac:dyDescent="0.25">
      <c r="A199" s="241"/>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5" x14ac:dyDescent="0.25">
      <c r="A200" s="241"/>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0</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5" x14ac:dyDescent="0.25">
      <c r="A201" s="241"/>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5" x14ac:dyDescent="0.25">
      <c r="A202" s="241"/>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0</v>
      </c>
      <c r="AD202" s="73"/>
      <c r="AE202" s="72"/>
      <c r="AF202" s="73"/>
      <c r="AG202" s="72"/>
      <c r="AH202" s="73"/>
    </row>
    <row r="203" spans="1:34" ht="15" x14ac:dyDescent="0.25">
      <c r="A203" s="241"/>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5" x14ac:dyDescent="0.25">
      <c r="A204" s="241"/>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5" x14ac:dyDescent="0.25">
      <c r="A205" s="241"/>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5" x14ac:dyDescent="0.25">
      <c r="A206" s="241"/>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5" x14ac:dyDescent="0.25">
      <c r="A207" s="241"/>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5" x14ac:dyDescent="0.25">
      <c r="A208" s="241"/>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5" x14ac:dyDescent="0.25">
      <c r="A209" s="241"/>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5" x14ac:dyDescent="0.25">
      <c r="A210" s="241"/>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5" x14ac:dyDescent="0.25">
      <c r="A211" s="241"/>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5" x14ac:dyDescent="0.25">
      <c r="A212" s="241"/>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5" x14ac:dyDescent="0.25">
      <c r="A213" s="241"/>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5" x14ac:dyDescent="0.25">
      <c r="A214" s="241"/>
      <c r="B214" s="66"/>
      <c r="C214" s="70">
        <f>SUM(C194:C210,C188)</f>
        <v>0</v>
      </c>
      <c r="D214" s="71"/>
      <c r="E214" s="70">
        <f>SUM(E196:E210,E188)</f>
        <v>0</v>
      </c>
      <c r="F214" s="71"/>
      <c r="G214" s="70">
        <f>MAX(SUM(G188:G206)-P1_In_LabMax,0)+SUM(G209:G210)</f>
        <v>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0</v>
      </c>
      <c r="U214" s="71"/>
      <c r="V214" s="70">
        <f>SUM(V196:V210,V188)</f>
        <v>0</v>
      </c>
      <c r="W214" s="71"/>
      <c r="X214" s="68"/>
      <c r="Y214" s="70">
        <f>SUM(Y194:Y210,Y188)</f>
        <v>0</v>
      </c>
      <c r="Z214" s="71"/>
      <c r="AA214" s="70">
        <f>SUM(AA196:AA210,AA188)</f>
        <v>0</v>
      </c>
      <c r="AB214" s="71"/>
      <c r="AC214" s="70">
        <f>MAX(SUM(AC188:AC206)-P3_In_LabMax,0)+SUM(AC209:AC210)</f>
        <v>0</v>
      </c>
      <c r="AD214" s="71"/>
      <c r="AE214" s="70">
        <f>SUM(AE196:AE210,AE188)</f>
        <v>0</v>
      </c>
      <c r="AF214" s="71"/>
      <c r="AG214" s="70">
        <f>SUM(AG196:AG210,AG188)</f>
        <v>0</v>
      </c>
      <c r="AH214" s="71"/>
    </row>
    <row r="215" spans="1:34" ht="14.25" x14ac:dyDescent="0.2">
      <c r="A215" s="241"/>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5" x14ac:dyDescent="0.25">
      <c r="A216" s="241"/>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4.25" x14ac:dyDescent="0.2">
      <c r="A217" s="241"/>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4.25" x14ac:dyDescent="0.2">
      <c r="A218" s="241"/>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4.25" x14ac:dyDescent="0.2">
      <c r="A219" s="241"/>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4.25" x14ac:dyDescent="0.2">
      <c r="A220" s="241"/>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75" x14ac:dyDescent="0.25">
      <c r="A221" s="241"/>
      <c r="B221" s="63"/>
      <c r="C221" s="78">
        <f>SUM(C217:C219)</f>
        <v>0</v>
      </c>
      <c r="D221" s="79"/>
      <c r="E221" s="80" t="s">
        <v>110</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4.25" x14ac:dyDescent="0.2">
      <c r="A222" s="241"/>
      <c r="B222" s="66"/>
      <c r="C222" s="67">
        <f>IF($C$226&lt;P1_In_Deduct,SUMPRODUCT('Plan Comparison Calculator'!$F$39:$F$41,'Base Costs'!$C$31:$C$33),SUMPRODUCT('Plan Comparison Calculator'!$F$39:$F$41,'Plan Defn'!$B$26:$B$28))</f>
        <v>0</v>
      </c>
      <c r="D222" s="67"/>
      <c r="E222" s="181" t="s">
        <v>111</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4.25" x14ac:dyDescent="0.2">
      <c r="A223" s="241"/>
      <c r="B223" s="66"/>
      <c r="C223" s="67">
        <f>IF($V$238&lt;P1_In_Deduct*P1_In_FamMult,SUMPRODUCT('Plan Comparison Calculator'!$F$39:$F$41,'Base Costs'!$C$31:$C$33),SUMPRODUCT('Plan Comparison Calculator'!$F$39:$F$41,'Plan Defn'!$B$26:$B$28))</f>
        <v>0</v>
      </c>
      <c r="D223" s="67"/>
      <c r="E223" s="181" t="s">
        <v>112</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75" x14ac:dyDescent="0.25">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5"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5" x14ac:dyDescent="0.25">
      <c r="A226" s="102"/>
      <c r="B226" s="86"/>
      <c r="C226" s="70">
        <f>E214+G214+I214+K214</f>
        <v>0</v>
      </c>
      <c r="D226" s="75"/>
      <c r="E226" s="92" t="s">
        <v>39</v>
      </c>
      <c r="F226" s="80"/>
      <c r="G226" s="75"/>
      <c r="H226" s="75"/>
      <c r="I226" s="75"/>
      <c r="J226" s="75"/>
      <c r="K226" s="75"/>
      <c r="L226" s="75"/>
      <c r="M226" s="89"/>
      <c r="N226" s="70">
        <f>(P214+R214+T214+V214)*T$2</f>
        <v>0</v>
      </c>
      <c r="O226" s="75"/>
      <c r="P226" s="92" t="s">
        <v>39</v>
      </c>
      <c r="Q226" s="80"/>
      <c r="R226" s="91"/>
      <c r="S226" s="91"/>
      <c r="T226" s="91"/>
      <c r="U226" s="91"/>
      <c r="V226" s="91"/>
      <c r="W226" s="91"/>
      <c r="X226" s="89"/>
      <c r="Y226" s="70">
        <f>(AA214+AC214+AE214+AG214)*AE$2</f>
        <v>0</v>
      </c>
      <c r="Z226" s="75"/>
      <c r="AA226" s="92" t="s">
        <v>39</v>
      </c>
      <c r="AB226" s="91"/>
      <c r="AC226" s="91"/>
    </row>
    <row r="227" spans="1:29" ht="15"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5" x14ac:dyDescent="0.25">
      <c r="A228" s="102"/>
      <c r="B228" s="86"/>
      <c r="C228" s="70">
        <f>E214+G214+I214+K214</f>
        <v>0</v>
      </c>
      <c r="D228" s="75"/>
      <c r="E228" s="92" t="s">
        <v>40</v>
      </c>
      <c r="F228" s="80"/>
      <c r="G228" s="75"/>
      <c r="H228" s="75"/>
      <c r="I228" s="75"/>
      <c r="J228" s="75"/>
      <c r="K228" s="75"/>
      <c r="L228" s="75"/>
      <c r="M228" s="89"/>
      <c r="N228" s="70">
        <f>(P214+R214+T214+V214)*T$2</f>
        <v>0</v>
      </c>
      <c r="O228" s="75"/>
      <c r="P228" s="92" t="s">
        <v>40</v>
      </c>
      <c r="Q228" s="80"/>
      <c r="R228" s="91"/>
      <c r="S228" s="91"/>
      <c r="T228" s="91"/>
      <c r="U228" s="91"/>
      <c r="V228" s="91"/>
      <c r="W228" s="91"/>
      <c r="X228" s="89"/>
      <c r="Y228" s="70">
        <f>(AA214+AC214+AE214+AG214)*AE$2</f>
        <v>0</v>
      </c>
      <c r="Z228" s="75"/>
      <c r="AA228" s="92" t="s">
        <v>40</v>
      </c>
      <c r="AB228" s="91"/>
      <c r="AC228" s="91"/>
    </row>
    <row r="229" spans="1:29" ht="15"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5"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5" x14ac:dyDescent="0.25">
      <c r="A231" s="102"/>
      <c r="B231" s="86"/>
      <c r="C231" s="72">
        <f>MIN(C226,P1_In_Deduct)</f>
        <v>0</v>
      </c>
      <c r="D231" s="88"/>
      <c r="E231" s="94" t="s">
        <v>41</v>
      </c>
      <c r="G231" s="67"/>
      <c r="H231" s="67"/>
      <c r="I231" s="67"/>
      <c r="J231" s="67"/>
      <c r="K231" s="67"/>
      <c r="L231" s="67"/>
      <c r="M231" s="77"/>
      <c r="N231" s="72">
        <f>MIN(N226,P1_In_Deduct)</f>
        <v>0</v>
      </c>
      <c r="O231" s="88"/>
      <c r="P231" s="94" t="s">
        <v>41</v>
      </c>
      <c r="Q231" s="77"/>
      <c r="R231" s="77"/>
      <c r="S231" s="77"/>
      <c r="T231" s="77"/>
      <c r="U231" s="77"/>
      <c r="V231" s="77"/>
      <c r="W231" s="77"/>
      <c r="X231" s="77"/>
      <c r="Y231" s="72">
        <f>MIN(Y226,P1_In_Deduct)</f>
        <v>0</v>
      </c>
      <c r="Z231" s="88"/>
      <c r="AA231" s="94" t="s">
        <v>41</v>
      </c>
      <c r="AB231" s="77"/>
      <c r="AC231" s="77"/>
    </row>
    <row r="232" spans="1:29" ht="15"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5"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5" x14ac:dyDescent="0.25">
      <c r="A234" s="102"/>
      <c r="B234" s="86"/>
      <c r="C234" s="72">
        <f>MIN((C228-C231)*(1-P1_In_Coins),P1_In_OOPMax)</f>
        <v>0</v>
      </c>
      <c r="D234" s="88"/>
      <c r="E234" s="92" t="s">
        <v>42</v>
      </c>
      <c r="F234" s="67"/>
      <c r="G234" s="67"/>
      <c r="H234" s="67"/>
      <c r="I234" s="67"/>
      <c r="J234" s="67"/>
      <c r="K234" s="67"/>
      <c r="L234" s="67"/>
      <c r="M234" s="77"/>
      <c r="N234" s="72">
        <f>(N228-N231)*(1-P1_In_Coins)</f>
        <v>0</v>
      </c>
      <c r="O234" s="88"/>
      <c r="P234" s="92" t="s">
        <v>42</v>
      </c>
      <c r="Q234" s="77"/>
      <c r="R234" s="77"/>
      <c r="S234" s="77"/>
      <c r="W234" s="88"/>
      <c r="X234" s="77"/>
      <c r="Y234" s="72">
        <f>IF(Y228&gt;=Y231,MIN((Y228-Y231)*(1-P1_In_Coins),P1_In_OOPMax),0)</f>
        <v>0</v>
      </c>
      <c r="Z234" s="88"/>
      <c r="AA234" s="92" t="s">
        <v>42</v>
      </c>
      <c r="AB234" s="77"/>
      <c r="AC234" s="77"/>
    </row>
    <row r="235" spans="1:29" ht="15.75" x14ac:dyDescent="0.25">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5"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5" x14ac:dyDescent="0.25">
      <c r="A237" s="102"/>
      <c r="B237" s="86"/>
      <c r="C237" s="171"/>
      <c r="D237" s="164" t="s">
        <v>92</v>
      </c>
      <c r="E237" s="172" t="s">
        <v>93</v>
      </c>
      <c r="F237" s="165" t="s">
        <v>94</v>
      </c>
      <c r="G237" s="173"/>
      <c r="H237" s="171"/>
      <c r="I237" s="171"/>
      <c r="J237" s="171"/>
      <c r="K237" s="171"/>
      <c r="L237" s="171"/>
      <c r="M237" s="77"/>
      <c r="N237" s="77"/>
      <c r="O237" s="77"/>
      <c r="P237" s="77"/>
      <c r="Q237" s="77"/>
      <c r="R237" s="77"/>
      <c r="S237" s="77"/>
      <c r="T237" s="77"/>
      <c r="U237" s="77"/>
      <c r="V237" s="77"/>
      <c r="W237" s="77"/>
      <c r="X237" s="77"/>
      <c r="Y237" s="77"/>
      <c r="Z237" s="77"/>
      <c r="AA237" s="77"/>
      <c r="AB237" s="77"/>
      <c r="AC237" s="77"/>
    </row>
    <row r="238" spans="1:29" ht="15.75" x14ac:dyDescent="0.25">
      <c r="A238" s="102"/>
      <c r="B238" s="86"/>
      <c r="C238" s="163" t="s">
        <v>1</v>
      </c>
      <c r="D238" s="174">
        <f t="shared" ref="D238:D243" si="4">IF(F238&lt;E238,F238,E238)</f>
        <v>0</v>
      </c>
      <c r="E238" s="177">
        <f>'Plan Defn'!$B9</f>
        <v>3500</v>
      </c>
      <c r="F238" s="178">
        <f t="shared" ref="F238:F243" si="5">SUM(L$238:L$241)</f>
        <v>0</v>
      </c>
      <c r="G238" s="165" t="s">
        <v>95</v>
      </c>
      <c r="H238" s="58"/>
      <c r="I238" s="58"/>
      <c r="J238" s="58"/>
      <c r="K238" s="164" t="s">
        <v>96</v>
      </c>
      <c r="L238" s="175">
        <f>V238</f>
        <v>0</v>
      </c>
      <c r="M238" s="85"/>
      <c r="N238" s="85"/>
      <c r="O238" s="85"/>
      <c r="P238" s="85"/>
      <c r="Q238" s="85"/>
      <c r="R238" s="85"/>
      <c r="S238" s="85"/>
      <c r="T238" s="98" t="s">
        <v>43</v>
      </c>
      <c r="U238" s="98"/>
      <c r="V238" s="99">
        <f>IF('Plan Comparison Calculator'!F5="Employee Only",MIN((C231+N231+Y231),('Plan Defn'!B9)),MIN((C231+N231+Y231),('Plan Defn'!B10)))</f>
        <v>0</v>
      </c>
      <c r="W238" s="85"/>
      <c r="X238" s="85"/>
      <c r="Y238" s="85"/>
      <c r="Z238" s="85"/>
      <c r="AA238" s="85"/>
      <c r="AB238" s="85"/>
      <c r="AC238" s="85"/>
    </row>
    <row r="239" spans="1:29" ht="15" x14ac:dyDescent="0.25">
      <c r="A239" s="102"/>
      <c r="B239" s="86"/>
      <c r="C239" s="163" t="s">
        <v>80</v>
      </c>
      <c r="D239" s="174">
        <f t="shared" si="4"/>
        <v>0</v>
      </c>
      <c r="E239" s="176">
        <f>'Plan Defn'!B$10</f>
        <v>7000</v>
      </c>
      <c r="F239" s="178">
        <f t="shared" si="5"/>
        <v>0</v>
      </c>
      <c r="G239" s="165" t="s">
        <v>95</v>
      </c>
      <c r="H239" s="171"/>
      <c r="I239" s="171"/>
      <c r="J239" s="171"/>
      <c r="K239" s="164" t="s">
        <v>97</v>
      </c>
      <c r="L239" s="175">
        <f>V241</f>
        <v>0</v>
      </c>
      <c r="M239" s="77"/>
      <c r="N239" s="77"/>
      <c r="O239" s="77"/>
      <c r="P239" s="77"/>
      <c r="Q239" s="77"/>
      <c r="R239" s="77"/>
      <c r="S239" s="77"/>
      <c r="T239" s="98" t="s">
        <v>49</v>
      </c>
      <c r="V239" s="100"/>
      <c r="W239" s="77"/>
      <c r="X239" s="77"/>
      <c r="Y239" s="77"/>
      <c r="Z239" s="77"/>
      <c r="AA239" s="77"/>
      <c r="AB239" s="77"/>
      <c r="AC239" s="77"/>
    </row>
    <row r="240" spans="1:29" ht="15" x14ac:dyDescent="0.25">
      <c r="A240" s="102"/>
      <c r="B240" s="86"/>
      <c r="C240" s="163" t="s">
        <v>81</v>
      </c>
      <c r="D240" s="174">
        <f t="shared" si="4"/>
        <v>0</v>
      </c>
      <c r="E240" s="176">
        <f>'Plan Defn'!B$10</f>
        <v>7000</v>
      </c>
      <c r="F240" s="178">
        <f t="shared" si="5"/>
        <v>0</v>
      </c>
      <c r="G240" s="165" t="s">
        <v>95</v>
      </c>
      <c r="H240" s="171"/>
      <c r="I240" s="171"/>
      <c r="J240" s="171"/>
      <c r="K240" s="164" t="s">
        <v>98</v>
      </c>
      <c r="L240" s="175">
        <f>SUM(C214,N214,Y214)</f>
        <v>0</v>
      </c>
      <c r="M240" s="77"/>
      <c r="N240" s="77"/>
      <c r="O240" s="77"/>
      <c r="P240" s="77"/>
      <c r="Q240" s="77"/>
      <c r="R240" s="77"/>
      <c r="S240" s="77"/>
      <c r="T240" s="77"/>
      <c r="U240" s="77"/>
      <c r="V240" s="77"/>
      <c r="W240" s="77"/>
      <c r="X240" s="77"/>
      <c r="Y240" s="77"/>
      <c r="Z240" s="77"/>
      <c r="AA240" s="77"/>
      <c r="AB240" s="77"/>
      <c r="AC240" s="77"/>
    </row>
    <row r="241" spans="1:29" ht="15.75" x14ac:dyDescent="0.25">
      <c r="A241" s="102"/>
      <c r="B241" s="86"/>
      <c r="C241" s="163" t="s">
        <v>82</v>
      </c>
      <c r="D241" s="174">
        <f t="shared" si="4"/>
        <v>0</v>
      </c>
      <c r="E241" s="176">
        <f>'Plan Defn'!B$10</f>
        <v>7000</v>
      </c>
      <c r="F241" s="178">
        <f t="shared" si="5"/>
        <v>0</v>
      </c>
      <c r="G241" s="165" t="s">
        <v>95</v>
      </c>
      <c r="H241" s="58"/>
      <c r="I241" s="58"/>
      <c r="J241" s="58"/>
      <c r="K241" s="164" t="s">
        <v>99</v>
      </c>
      <c r="L241" s="175">
        <f>IF('Plan Comparison Calculator'!F5="Employee Only",'OOP Calc'!C222,'OOP Calc'!C223)</f>
        <v>0</v>
      </c>
      <c r="M241" s="85"/>
      <c r="N241" s="85"/>
      <c r="O241" s="85"/>
      <c r="P241" s="85"/>
      <c r="Q241" s="85"/>
      <c r="R241" s="85"/>
      <c r="S241" s="85"/>
      <c r="T241" s="98" t="s">
        <v>44</v>
      </c>
      <c r="U241" s="98"/>
      <c r="V241" s="182">
        <f>IF('Plan Comparison Calculator'!F5="Employee Only",MIN((C234+N234+Y234),('Plan Defn'!B9)),MIN((C234+N234+Y234),('Plan Defn'!B10)))</f>
        <v>0</v>
      </c>
      <c r="W241" s="85"/>
      <c r="X241" s="85"/>
      <c r="Y241" s="85"/>
      <c r="Z241" s="85"/>
      <c r="AA241" s="85"/>
      <c r="AB241" s="85"/>
      <c r="AC241" s="85"/>
    </row>
    <row r="242" spans="1:29" ht="15" x14ac:dyDescent="0.25">
      <c r="A242" s="102"/>
      <c r="B242" s="86"/>
      <c r="C242" s="163" t="s">
        <v>83</v>
      </c>
      <c r="D242" s="174">
        <f t="shared" si="4"/>
        <v>0</v>
      </c>
      <c r="E242" s="176">
        <f>'Plan Defn'!B$10</f>
        <v>7000</v>
      </c>
      <c r="F242" s="178">
        <f t="shared" si="5"/>
        <v>0</v>
      </c>
      <c r="G242" s="165" t="s">
        <v>95</v>
      </c>
      <c r="H242" s="171"/>
      <c r="I242" s="171"/>
      <c r="J242" s="171"/>
      <c r="K242" s="171"/>
      <c r="L242" s="171"/>
      <c r="M242" s="77"/>
      <c r="N242" s="77"/>
      <c r="O242" s="77"/>
      <c r="P242" s="77"/>
      <c r="Q242" s="77"/>
      <c r="R242" s="77"/>
      <c r="S242" s="77"/>
      <c r="T242" s="98" t="s">
        <v>50</v>
      </c>
      <c r="U242" s="77"/>
      <c r="V242" s="87"/>
      <c r="W242" s="77"/>
      <c r="X242" s="77"/>
      <c r="Y242" s="77"/>
      <c r="Z242" s="77"/>
      <c r="AA242" s="77"/>
      <c r="AB242" s="77"/>
      <c r="AC242" s="77"/>
    </row>
    <row r="243" spans="1:29" x14ac:dyDescent="0.2">
      <c r="C243" s="163" t="s">
        <v>84</v>
      </c>
      <c r="D243" s="174">
        <f t="shared" si="4"/>
        <v>0</v>
      </c>
      <c r="E243" s="176">
        <f>'Plan Defn'!B$10</f>
        <v>7000</v>
      </c>
      <c r="F243" s="178">
        <f t="shared" si="5"/>
        <v>0</v>
      </c>
      <c r="G243" s="165" t="s">
        <v>95</v>
      </c>
      <c r="H243" s="171"/>
      <c r="I243" s="171"/>
      <c r="J243" s="171"/>
      <c r="K243" s="171"/>
      <c r="L243" s="171"/>
    </row>
  </sheetData>
  <mergeCells count="142">
    <mergeCell ref="A78:A103"/>
    <mergeCell ref="K65:L65"/>
    <mergeCell ref="R126:S126"/>
    <mergeCell ref="T126:U126"/>
    <mergeCell ref="I125:J125"/>
    <mergeCell ref="E126:F126"/>
    <mergeCell ref="G126:H126"/>
    <mergeCell ref="I126:J126"/>
    <mergeCell ref="K126:L126"/>
    <mergeCell ref="C124:K124"/>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7"/>
  <sheetViews>
    <sheetView workbookViewId="0">
      <selection activeCell="K166" sqref="K166"/>
    </sheetView>
  </sheetViews>
  <sheetFormatPr defaultRowHeight="12.75" x14ac:dyDescent="0.2"/>
  <cols>
    <col min="1" max="1" width="34.42578125" style="103" bestFit="1" customWidth="1"/>
    <col min="2" max="3" width="23.7109375" style="61" customWidth="1"/>
    <col min="4" max="4" width="4" style="61" customWidth="1"/>
    <col min="5" max="5" width="23.7109375" style="61" customWidth="1"/>
    <col min="6" max="6" width="23.7109375" customWidth="1"/>
    <col min="7" max="7" width="4.85546875" customWidth="1"/>
    <col min="8" max="9" width="23.7109375" customWidth="1"/>
    <col min="12" max="12" width="9.7109375" bestFit="1" customWidth="1"/>
    <col min="13" max="14" width="10.7109375" bestFit="1" customWidth="1"/>
  </cols>
  <sheetData>
    <row r="1" spans="1:9" ht="27" thickBot="1" x14ac:dyDescent="0.45">
      <c r="B1" s="255" t="s">
        <v>51</v>
      </c>
      <c r="C1" s="255"/>
      <c r="D1" s="255"/>
      <c r="E1" s="255"/>
      <c r="F1" s="255"/>
    </row>
    <row r="2" spans="1:9" ht="12.75" customHeight="1" x14ac:dyDescent="0.25">
      <c r="A2" s="103" t="s">
        <v>52</v>
      </c>
      <c r="B2" s="249" t="s">
        <v>53</v>
      </c>
      <c r="C2" s="250"/>
      <c r="D2" s="253"/>
      <c r="E2" s="249" t="s">
        <v>53</v>
      </c>
      <c r="F2" s="250"/>
      <c r="G2" s="104"/>
      <c r="H2" s="249" t="s">
        <v>53</v>
      </c>
      <c r="I2" s="250"/>
    </row>
    <row r="3" spans="1:9" ht="12.75" customHeight="1" x14ac:dyDescent="0.25">
      <c r="A3" s="103" t="s">
        <v>54</v>
      </c>
      <c r="B3" s="251" t="s">
        <v>132</v>
      </c>
      <c r="C3" s="252"/>
      <c r="D3" s="253"/>
      <c r="E3" s="251" t="s">
        <v>102</v>
      </c>
      <c r="F3" s="252"/>
      <c r="G3" s="104"/>
      <c r="H3" s="251" t="s">
        <v>133</v>
      </c>
      <c r="I3" s="252"/>
    </row>
    <row r="4" spans="1:9" ht="8.25" customHeight="1" x14ac:dyDescent="0.2">
      <c r="B4" s="105"/>
      <c r="C4" s="106"/>
      <c r="D4" s="107"/>
      <c r="E4" s="105"/>
      <c r="F4" s="108"/>
      <c r="H4" s="105"/>
      <c r="I4" s="108"/>
    </row>
    <row r="5" spans="1:9" ht="15" customHeight="1" x14ac:dyDescent="0.25">
      <c r="B5" s="109" t="s">
        <v>55</v>
      </c>
      <c r="C5" s="110" t="s">
        <v>56</v>
      </c>
      <c r="D5" s="104"/>
      <c r="E5" s="109" t="s">
        <v>55</v>
      </c>
      <c r="F5" s="110" t="s">
        <v>56</v>
      </c>
      <c r="G5" s="104"/>
      <c r="H5" s="109" t="s">
        <v>55</v>
      </c>
      <c r="I5" s="110" t="s">
        <v>56</v>
      </c>
    </row>
    <row r="6" spans="1:9" x14ac:dyDescent="0.2">
      <c r="A6" s="103" t="s">
        <v>57</v>
      </c>
      <c r="B6" s="111">
        <v>1500</v>
      </c>
      <c r="C6" s="112"/>
      <c r="D6" s="113"/>
      <c r="E6" s="111">
        <v>750</v>
      </c>
      <c r="F6" s="114">
        <v>750</v>
      </c>
      <c r="G6" s="115"/>
      <c r="H6" s="111">
        <v>1000</v>
      </c>
      <c r="I6" s="114"/>
    </row>
    <row r="7" spans="1:9" x14ac:dyDescent="0.2">
      <c r="A7" s="103" t="s">
        <v>58</v>
      </c>
      <c r="B7" s="105">
        <v>2</v>
      </c>
      <c r="C7" s="106"/>
      <c r="D7" s="116"/>
      <c r="E7" s="105">
        <v>2</v>
      </c>
      <c r="F7" s="117">
        <v>2</v>
      </c>
      <c r="G7" s="118"/>
      <c r="H7" s="105">
        <v>2</v>
      </c>
      <c r="I7" s="117"/>
    </row>
    <row r="8" spans="1:9" x14ac:dyDescent="0.2">
      <c r="A8" s="103" t="s">
        <v>59</v>
      </c>
      <c r="B8" s="111">
        <v>3500</v>
      </c>
      <c r="C8" s="112"/>
      <c r="D8" s="113"/>
      <c r="E8" s="111">
        <v>3000</v>
      </c>
      <c r="F8" s="114">
        <v>3000</v>
      </c>
      <c r="G8" s="115"/>
      <c r="H8" s="111">
        <v>2000</v>
      </c>
      <c r="I8" s="114"/>
    </row>
    <row r="9" spans="1:9" x14ac:dyDescent="0.2">
      <c r="A9" s="166" t="s">
        <v>100</v>
      </c>
      <c r="B9" s="167">
        <v>3500</v>
      </c>
      <c r="C9" s="168"/>
      <c r="D9" s="167"/>
      <c r="E9" s="167">
        <v>3000</v>
      </c>
      <c r="F9" s="167">
        <v>3000</v>
      </c>
      <c r="G9" s="169"/>
      <c r="H9" s="167">
        <v>3000</v>
      </c>
      <c r="I9" s="170"/>
    </row>
    <row r="10" spans="1:9" x14ac:dyDescent="0.2">
      <c r="A10" s="166" t="s">
        <v>101</v>
      </c>
      <c r="B10" s="167">
        <v>7000</v>
      </c>
      <c r="C10" s="168"/>
      <c r="D10" s="167"/>
      <c r="E10" s="167">
        <v>6000</v>
      </c>
      <c r="F10" s="167">
        <v>6000</v>
      </c>
      <c r="G10" s="169"/>
      <c r="H10" s="167">
        <v>6000</v>
      </c>
      <c r="I10" s="170"/>
    </row>
    <row r="11" spans="1:9" x14ac:dyDescent="0.2">
      <c r="A11" s="103" t="s">
        <v>60</v>
      </c>
      <c r="B11" s="111">
        <v>0</v>
      </c>
      <c r="C11" s="112"/>
      <c r="D11" s="113"/>
      <c r="E11" s="111">
        <v>0</v>
      </c>
      <c r="F11" s="114">
        <v>0</v>
      </c>
      <c r="G11" s="115"/>
      <c r="H11" s="111">
        <v>30</v>
      </c>
      <c r="I11" s="114"/>
    </row>
    <row r="12" spans="1:9" x14ac:dyDescent="0.2">
      <c r="A12" s="103" t="s">
        <v>61</v>
      </c>
      <c r="B12" s="119"/>
      <c r="C12" s="120"/>
      <c r="D12" s="121"/>
      <c r="E12" s="119"/>
      <c r="F12" s="122"/>
      <c r="G12" s="123"/>
      <c r="H12" s="119"/>
      <c r="I12" s="122"/>
    </row>
    <row r="13" spans="1:9" x14ac:dyDescent="0.2">
      <c r="A13" s="103" t="s">
        <v>62</v>
      </c>
      <c r="B13" s="119"/>
      <c r="C13" s="120"/>
      <c r="D13" s="121"/>
      <c r="E13" s="119"/>
      <c r="F13" s="122"/>
      <c r="G13" s="123"/>
      <c r="H13" s="119"/>
      <c r="I13" s="122"/>
    </row>
    <row r="14" spans="1:9" x14ac:dyDescent="0.2">
      <c r="A14" s="103" t="s">
        <v>63</v>
      </c>
      <c r="B14" s="124">
        <v>0.8</v>
      </c>
      <c r="C14" s="125"/>
      <c r="D14" s="126"/>
      <c r="E14" s="124">
        <v>0.9</v>
      </c>
      <c r="F14" s="127">
        <v>0.7</v>
      </c>
      <c r="G14" s="128"/>
      <c r="H14" s="124">
        <v>0.8</v>
      </c>
      <c r="I14" s="127"/>
    </row>
    <row r="15" spans="1:9" ht="6.75" customHeight="1" x14ac:dyDescent="0.2">
      <c r="B15" s="111"/>
      <c r="C15" s="112"/>
      <c r="D15" s="115"/>
      <c r="E15" s="111"/>
      <c r="F15" s="114"/>
      <c r="G15" s="115"/>
      <c r="H15" s="111"/>
      <c r="I15" s="114"/>
    </row>
    <row r="16" spans="1:9" x14ac:dyDescent="0.2">
      <c r="A16" s="103" t="s">
        <v>64</v>
      </c>
      <c r="B16" s="111">
        <v>0</v>
      </c>
      <c r="C16" s="112"/>
      <c r="D16" s="113"/>
      <c r="E16" s="111">
        <v>150</v>
      </c>
      <c r="F16" s="114">
        <v>150</v>
      </c>
      <c r="G16" s="115"/>
      <c r="H16" s="111">
        <v>150</v>
      </c>
      <c r="I16" s="114"/>
    </row>
    <row r="17" spans="1:9" ht="12.75" customHeight="1" x14ac:dyDescent="0.2">
      <c r="A17" s="103" t="s">
        <v>65</v>
      </c>
      <c r="B17" s="111">
        <v>0</v>
      </c>
      <c r="C17" s="112"/>
      <c r="D17" s="113"/>
      <c r="E17" s="111">
        <v>0</v>
      </c>
      <c r="F17" s="114">
        <v>0</v>
      </c>
      <c r="G17" s="115"/>
      <c r="H17" s="111">
        <v>0</v>
      </c>
      <c r="I17" s="114"/>
    </row>
    <row r="18" spans="1:9" ht="12.75" customHeight="1" x14ac:dyDescent="0.2">
      <c r="A18" s="103" t="s">
        <v>66</v>
      </c>
      <c r="B18" s="111">
        <v>0</v>
      </c>
      <c r="C18" s="112"/>
      <c r="D18" s="113"/>
      <c r="E18" s="111">
        <v>0</v>
      </c>
      <c r="F18" s="114">
        <v>0</v>
      </c>
      <c r="G18" s="115"/>
      <c r="H18" s="111">
        <v>0</v>
      </c>
      <c r="I18" s="114"/>
    </row>
    <row r="19" spans="1:9" ht="12.75" customHeight="1" x14ac:dyDescent="0.2">
      <c r="A19" s="103" t="s">
        <v>67</v>
      </c>
      <c r="B19" s="111">
        <v>0</v>
      </c>
      <c r="C19" s="112"/>
      <c r="D19" s="113"/>
      <c r="E19" s="111">
        <v>0</v>
      </c>
      <c r="F19" s="114">
        <v>0</v>
      </c>
      <c r="G19" s="115"/>
      <c r="H19" s="111">
        <v>30</v>
      </c>
      <c r="I19" s="114"/>
    </row>
    <row r="20" spans="1:9" x14ac:dyDescent="0.2">
      <c r="A20" s="103" t="s">
        <v>68</v>
      </c>
      <c r="B20" s="124">
        <v>0.8</v>
      </c>
      <c r="C20" s="125"/>
      <c r="D20" s="126"/>
      <c r="E20" s="124">
        <v>0.9</v>
      </c>
      <c r="F20" s="127">
        <v>0.7</v>
      </c>
      <c r="G20" s="128"/>
      <c r="H20" s="124">
        <v>0.8</v>
      </c>
      <c r="I20" s="127"/>
    </row>
    <row r="21" spans="1:9" x14ac:dyDescent="0.2">
      <c r="A21" s="103" t="s">
        <v>69</v>
      </c>
      <c r="B21" s="111">
        <v>0</v>
      </c>
      <c r="C21" s="112"/>
      <c r="D21" s="113"/>
      <c r="E21" s="111">
        <v>0</v>
      </c>
      <c r="F21" s="114">
        <v>0</v>
      </c>
      <c r="G21" s="115"/>
      <c r="H21" s="111">
        <v>0</v>
      </c>
      <c r="I21" s="114"/>
    </row>
    <row r="22" spans="1:9" x14ac:dyDescent="0.2">
      <c r="A22" s="103" t="s">
        <v>70</v>
      </c>
      <c r="B22" s="129"/>
      <c r="C22" s="130"/>
      <c r="D22" s="131"/>
      <c r="E22" s="129"/>
      <c r="F22" s="132"/>
      <c r="G22" s="121"/>
      <c r="H22" s="129"/>
      <c r="I22" s="132"/>
    </row>
    <row r="23" spans="1:9" x14ac:dyDescent="0.2">
      <c r="A23" s="103" t="s">
        <v>71</v>
      </c>
      <c r="B23" s="129"/>
      <c r="C23" s="130"/>
      <c r="D23" s="131"/>
      <c r="E23" s="129"/>
      <c r="F23" s="132"/>
      <c r="G23" s="123"/>
      <c r="H23" s="129"/>
      <c r="I23" s="132"/>
    </row>
    <row r="24" spans="1:9" ht="6" customHeight="1" x14ac:dyDescent="0.2">
      <c r="B24" s="105"/>
      <c r="C24" s="106"/>
      <c r="D24" s="107"/>
      <c r="E24" s="105"/>
      <c r="F24" s="117"/>
      <c r="G24" s="62"/>
      <c r="H24" s="105"/>
      <c r="I24" s="117"/>
    </row>
    <row r="25" spans="1:9" x14ac:dyDescent="0.2">
      <c r="A25" s="103" t="s">
        <v>72</v>
      </c>
      <c r="B25" s="133"/>
      <c r="C25" s="134"/>
      <c r="D25" s="135"/>
      <c r="E25" s="133"/>
      <c r="F25" s="136"/>
      <c r="G25" s="123"/>
      <c r="H25" s="133"/>
      <c r="I25" s="136"/>
    </row>
    <row r="26" spans="1:9" x14ac:dyDescent="0.2">
      <c r="A26" s="103" t="s">
        <v>73</v>
      </c>
      <c r="B26" s="111">
        <v>15</v>
      </c>
      <c r="C26" s="112"/>
      <c r="D26" s="137"/>
      <c r="E26" s="111">
        <v>15</v>
      </c>
      <c r="F26" s="114"/>
      <c r="G26" s="115"/>
      <c r="H26" s="111">
        <v>15</v>
      </c>
      <c r="I26" s="114"/>
    </row>
    <row r="27" spans="1:9" x14ac:dyDescent="0.2">
      <c r="A27" s="103" t="s">
        <v>74</v>
      </c>
      <c r="B27" s="111">
        <v>30</v>
      </c>
      <c r="C27" s="112"/>
      <c r="D27" s="137"/>
      <c r="E27" s="111">
        <v>25</v>
      </c>
      <c r="F27" s="114"/>
      <c r="G27" s="115"/>
      <c r="H27" s="111">
        <v>30</v>
      </c>
      <c r="I27" s="114"/>
    </row>
    <row r="28" spans="1:9" ht="13.5" thickBot="1" x14ac:dyDescent="0.25">
      <c r="A28" s="103" t="s">
        <v>75</v>
      </c>
      <c r="B28" s="111">
        <v>30</v>
      </c>
      <c r="C28" s="112"/>
      <c r="D28" s="138"/>
      <c r="E28" s="139">
        <v>45</v>
      </c>
      <c r="F28" s="140"/>
      <c r="G28" s="115"/>
      <c r="H28" s="139">
        <v>30</v>
      </c>
      <c r="I28" s="140"/>
    </row>
    <row r="29" spans="1:9" ht="6" customHeight="1" x14ac:dyDescent="0.2"/>
    <row r="30" spans="1:9" ht="6" customHeight="1" x14ac:dyDescent="0.2"/>
    <row r="31" spans="1:9" x14ac:dyDescent="0.2">
      <c r="B31" s="141"/>
      <c r="C31" s="141"/>
      <c r="D31" s="141"/>
      <c r="E31" s="142" t="s">
        <v>76</v>
      </c>
    </row>
    <row r="32" spans="1:9" ht="6" customHeight="1" x14ac:dyDescent="0.2"/>
    <row r="33" spans="1:14" ht="18.75" customHeight="1" x14ac:dyDescent="0.2">
      <c r="B33" s="254" t="s">
        <v>77</v>
      </c>
      <c r="C33" s="254"/>
      <c r="D33" s="254"/>
      <c r="E33" s="254"/>
      <c r="G33" s="103" t="s">
        <v>4</v>
      </c>
      <c r="H33" s="61" t="s">
        <v>78</v>
      </c>
    </row>
    <row r="34" spans="1:14" ht="18.75" customHeight="1" x14ac:dyDescent="0.2">
      <c r="B34" s="143" t="str">
        <f>CONCATENATE(P1_Carrier," - ",P1_Plan)</f>
        <v>Group Health - HSA HMO</v>
      </c>
      <c r="C34" s="143" t="str">
        <f>CONCATENATE(P2_Carrier," - ",P2_Plan)</f>
        <v>Group Health - Access PPO</v>
      </c>
      <c r="D34" s="143"/>
      <c r="E34" s="143" t="str">
        <f>CONCATENATE(P2_Carrier," - ",P3_Plan)</f>
        <v>Group Health - Essentials/Core</v>
      </c>
      <c r="G34" s="103" t="s">
        <v>79</v>
      </c>
      <c r="H34" s="61" t="s">
        <v>79</v>
      </c>
    </row>
    <row r="35" spans="1:14" ht="15" x14ac:dyDescent="0.2">
      <c r="A35" s="144" t="s">
        <v>1</v>
      </c>
      <c r="B35" s="145">
        <v>17</v>
      </c>
      <c r="C35" s="145">
        <v>64</v>
      </c>
      <c r="D35" s="145"/>
      <c r="E35" s="145">
        <v>22</v>
      </c>
      <c r="G35" s="61">
        <v>0</v>
      </c>
      <c r="H35" s="61">
        <v>0</v>
      </c>
      <c r="L35" s="190">
        <f>B35*12</f>
        <v>204</v>
      </c>
      <c r="M35" s="190">
        <f t="shared" ref="M35:M40" si="0">E35*12</f>
        <v>264</v>
      </c>
      <c r="N35" s="190">
        <f t="shared" ref="N35:N40" si="1">C35*12</f>
        <v>768</v>
      </c>
    </row>
    <row r="36" spans="1:14" ht="15" x14ac:dyDescent="0.2">
      <c r="A36" s="144" t="s">
        <v>80</v>
      </c>
      <c r="B36" s="145">
        <v>225</v>
      </c>
      <c r="C36" s="145">
        <v>762</v>
      </c>
      <c r="D36" s="145"/>
      <c r="E36" s="145">
        <v>325</v>
      </c>
      <c r="G36" s="61">
        <v>1</v>
      </c>
      <c r="H36" s="61">
        <v>0</v>
      </c>
      <c r="I36" s="190">
        <f>E36-E$35</f>
        <v>303</v>
      </c>
      <c r="L36" s="190">
        <f t="shared" ref="L36:L40" si="2">B36*12</f>
        <v>2700</v>
      </c>
      <c r="M36" s="190">
        <f t="shared" si="0"/>
        <v>3900</v>
      </c>
      <c r="N36" s="190">
        <f t="shared" si="1"/>
        <v>9144</v>
      </c>
    </row>
    <row r="37" spans="1:14" ht="15" x14ac:dyDescent="0.2">
      <c r="A37" s="144" t="s">
        <v>81</v>
      </c>
      <c r="B37" s="145">
        <v>400</v>
      </c>
      <c r="C37" s="145">
        <v>850</v>
      </c>
      <c r="D37" s="145"/>
      <c r="E37" s="145">
        <v>500</v>
      </c>
      <c r="G37" s="61">
        <v>1</v>
      </c>
      <c r="H37" s="61">
        <v>1</v>
      </c>
      <c r="I37" s="190">
        <f>E37-E$35</f>
        <v>478</v>
      </c>
      <c r="J37" s="190">
        <f>I37-I36</f>
        <v>175</v>
      </c>
      <c r="L37" s="190">
        <f t="shared" si="2"/>
        <v>4800</v>
      </c>
      <c r="M37" s="190">
        <f t="shared" si="0"/>
        <v>6000</v>
      </c>
      <c r="N37" s="190">
        <f t="shared" si="1"/>
        <v>10200</v>
      </c>
    </row>
    <row r="38" spans="1:14" ht="15" x14ac:dyDescent="0.2">
      <c r="A38" s="144" t="s">
        <v>82</v>
      </c>
      <c r="B38" s="189">
        <f>B37</f>
        <v>400</v>
      </c>
      <c r="C38" s="145">
        <f>C37</f>
        <v>850</v>
      </c>
      <c r="D38" s="145"/>
      <c r="E38" s="145">
        <f>E37</f>
        <v>500</v>
      </c>
      <c r="G38" s="61">
        <v>1</v>
      </c>
      <c r="H38" s="61">
        <v>1</v>
      </c>
      <c r="I38" s="190">
        <f>E38-E$35</f>
        <v>478</v>
      </c>
      <c r="J38" s="190">
        <f>I38-I37</f>
        <v>0</v>
      </c>
      <c r="L38" s="190">
        <f t="shared" si="2"/>
        <v>4800</v>
      </c>
      <c r="M38" s="190">
        <f t="shared" si="0"/>
        <v>6000</v>
      </c>
      <c r="N38" s="190">
        <f t="shared" si="1"/>
        <v>10200</v>
      </c>
    </row>
    <row r="39" spans="1:14" ht="15" x14ac:dyDescent="0.2">
      <c r="A39" s="144" t="s">
        <v>83</v>
      </c>
      <c r="B39" s="145">
        <v>59</v>
      </c>
      <c r="C39" s="189">
        <v>430</v>
      </c>
      <c r="D39" s="145"/>
      <c r="E39" s="145">
        <v>100</v>
      </c>
      <c r="G39" s="61">
        <v>0</v>
      </c>
      <c r="H39" s="61">
        <v>1</v>
      </c>
      <c r="I39" s="190">
        <f>E39-E$35</f>
        <v>78</v>
      </c>
      <c r="L39" s="190">
        <f t="shared" si="2"/>
        <v>708</v>
      </c>
      <c r="M39" s="190">
        <f t="shared" si="0"/>
        <v>1200</v>
      </c>
      <c r="N39" s="190">
        <f t="shared" si="1"/>
        <v>5160</v>
      </c>
    </row>
    <row r="40" spans="1:14" ht="15" x14ac:dyDescent="0.2">
      <c r="A40" s="144" t="s">
        <v>84</v>
      </c>
      <c r="B40" s="189">
        <f>B39</f>
        <v>59</v>
      </c>
      <c r="C40" s="145">
        <f>C39</f>
        <v>430</v>
      </c>
      <c r="D40" s="145"/>
      <c r="E40" s="145">
        <f>E39</f>
        <v>100</v>
      </c>
      <c r="G40" s="61">
        <v>0</v>
      </c>
      <c r="H40" s="61">
        <v>1</v>
      </c>
      <c r="I40" s="190">
        <f>E40-E$35</f>
        <v>78</v>
      </c>
      <c r="L40" s="190">
        <f t="shared" si="2"/>
        <v>708</v>
      </c>
      <c r="M40" s="190">
        <f t="shared" si="0"/>
        <v>1200</v>
      </c>
      <c r="N40" s="190">
        <f t="shared" si="1"/>
        <v>5160</v>
      </c>
    </row>
    <row r="42" spans="1:14" x14ac:dyDescent="0.2">
      <c r="B42" s="180" t="s">
        <v>85</v>
      </c>
      <c r="C42" s="143"/>
      <c r="D42" s="143"/>
      <c r="E42" s="180" t="s">
        <v>104</v>
      </c>
    </row>
    <row r="43" spans="1:14" x14ac:dyDescent="0.2">
      <c r="B43" s="143" t="s">
        <v>86</v>
      </c>
      <c r="C43" s="143"/>
      <c r="D43" s="143"/>
      <c r="E43" s="143" t="s">
        <v>86</v>
      </c>
    </row>
    <row r="44" spans="1:14" ht="15" x14ac:dyDescent="0.2">
      <c r="A44" s="144" t="s">
        <v>1</v>
      </c>
      <c r="B44" s="146">
        <v>780</v>
      </c>
      <c r="C44" s="146"/>
      <c r="D44" s="146"/>
      <c r="E44" s="146"/>
    </row>
    <row r="45" spans="1:14" ht="15" x14ac:dyDescent="0.2">
      <c r="A45" s="144" t="s">
        <v>80</v>
      </c>
      <c r="B45" s="146">
        <f>2*B44</f>
        <v>1560</v>
      </c>
      <c r="C45" s="146"/>
      <c r="D45" s="146"/>
      <c r="E45" s="146"/>
    </row>
    <row r="46" spans="1:14" ht="15" x14ac:dyDescent="0.2">
      <c r="A46" s="144" t="s">
        <v>81</v>
      </c>
      <c r="B46" s="146">
        <f>B$45</f>
        <v>1560</v>
      </c>
      <c r="C46" s="146"/>
      <c r="D46" s="146"/>
      <c r="E46" s="146"/>
    </row>
    <row r="47" spans="1:14" ht="15" x14ac:dyDescent="0.2">
      <c r="A47" s="144" t="s">
        <v>82</v>
      </c>
      <c r="B47" s="146">
        <f t="shared" ref="B47:B49" si="3">B$45</f>
        <v>1560</v>
      </c>
      <c r="C47" s="146"/>
      <c r="D47" s="146"/>
      <c r="E47" s="146"/>
    </row>
    <row r="48" spans="1:14" ht="15" x14ac:dyDescent="0.2">
      <c r="A48" s="144" t="s">
        <v>83</v>
      </c>
      <c r="B48" s="146">
        <f t="shared" si="3"/>
        <v>1560</v>
      </c>
      <c r="C48" s="146"/>
      <c r="D48" s="146"/>
      <c r="E48" s="146"/>
    </row>
    <row r="49" spans="1:5" ht="15" x14ac:dyDescent="0.2">
      <c r="A49" s="144" t="s">
        <v>84</v>
      </c>
      <c r="B49" s="146">
        <f t="shared" si="3"/>
        <v>1560</v>
      </c>
      <c r="C49" s="146"/>
      <c r="D49" s="146"/>
      <c r="E49" s="146"/>
    </row>
    <row r="52" spans="1:5" ht="15" x14ac:dyDescent="0.2">
      <c r="A52" s="144" t="s">
        <v>1</v>
      </c>
      <c r="B52" s="146">
        <f>B39-B35</f>
        <v>42</v>
      </c>
      <c r="C52" s="146">
        <f>C39-C35</f>
        <v>366</v>
      </c>
      <c r="D52" s="146"/>
      <c r="E52" s="146">
        <f>E39-E35</f>
        <v>78</v>
      </c>
    </row>
    <row r="53" spans="1:5" ht="15" x14ac:dyDescent="0.2">
      <c r="A53" s="144" t="s">
        <v>80</v>
      </c>
      <c r="B53" s="146">
        <f>B37-B36</f>
        <v>175</v>
      </c>
      <c r="C53" s="146">
        <f>C37-C36</f>
        <v>88</v>
      </c>
      <c r="D53" s="146"/>
      <c r="E53" s="146">
        <f>E37-E36</f>
        <v>175</v>
      </c>
    </row>
    <row r="54" spans="1:5" ht="15" x14ac:dyDescent="0.2">
      <c r="A54" s="144" t="s">
        <v>81</v>
      </c>
      <c r="B54" s="146">
        <f>B38-B37</f>
        <v>0</v>
      </c>
      <c r="C54" s="146">
        <f>C38-C37</f>
        <v>0</v>
      </c>
      <c r="D54" s="146"/>
      <c r="E54" s="146">
        <f>E38-E37</f>
        <v>0</v>
      </c>
    </row>
    <row r="55" spans="1:5" ht="15" x14ac:dyDescent="0.2">
      <c r="A55" s="144" t="s">
        <v>82</v>
      </c>
      <c r="B55" s="146">
        <v>0</v>
      </c>
      <c r="C55" s="146">
        <v>0</v>
      </c>
      <c r="D55" s="146"/>
      <c r="E55" s="146">
        <v>0</v>
      </c>
    </row>
    <row r="56" spans="1:5" ht="15" x14ac:dyDescent="0.2">
      <c r="A56" s="144" t="s">
        <v>83</v>
      </c>
      <c r="B56" s="146">
        <f>B40-B39</f>
        <v>0</v>
      </c>
      <c r="C56" s="146">
        <f>C40-C39</f>
        <v>0</v>
      </c>
      <c r="D56" s="146"/>
      <c r="E56" s="146">
        <f>E40-E39</f>
        <v>0</v>
      </c>
    </row>
    <row r="57" spans="1:5" ht="15" x14ac:dyDescent="0.2">
      <c r="A57" s="144" t="s">
        <v>84</v>
      </c>
      <c r="B57" s="146">
        <v>0</v>
      </c>
      <c r="C57" s="146">
        <v>0</v>
      </c>
      <c r="D57" s="146"/>
      <c r="E57" s="146">
        <v>0</v>
      </c>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8"/>
  <sheetViews>
    <sheetView workbookViewId="0">
      <selection activeCell="K166" sqref="K166"/>
    </sheetView>
  </sheetViews>
  <sheetFormatPr defaultRowHeight="12.75" x14ac:dyDescent="0.2"/>
  <cols>
    <col min="1" max="1" width="32.85546875" bestFit="1" customWidth="1"/>
    <col min="2" max="2" width="3.5703125" customWidth="1"/>
    <col min="3" max="3" width="10.42578125" bestFit="1" customWidth="1"/>
    <col min="4" max="4" width="12.7109375" customWidth="1"/>
    <col min="5" max="5" width="12.7109375" bestFit="1" customWidth="1"/>
    <col min="6" max="6" width="11" bestFit="1" customWidth="1"/>
  </cols>
  <sheetData>
    <row r="1" spans="1:7" x14ac:dyDescent="0.2">
      <c r="C1" s="61"/>
      <c r="D1" s="61"/>
      <c r="E1" s="61"/>
      <c r="F1" s="61"/>
      <c r="G1" s="147"/>
    </row>
    <row r="2" spans="1:7" ht="15.75" x14ac:dyDescent="0.25">
      <c r="C2" s="244" t="s">
        <v>87</v>
      </c>
      <c r="D2" s="244"/>
      <c r="E2" s="244"/>
      <c r="F2" s="244"/>
      <c r="G2" s="63"/>
    </row>
    <row r="3" spans="1:7" ht="30" x14ac:dyDescent="0.2">
      <c r="C3" s="81" t="s">
        <v>19</v>
      </c>
      <c r="D3" s="148" t="s">
        <v>20</v>
      </c>
      <c r="E3" s="81" t="s">
        <v>21</v>
      </c>
      <c r="F3" s="81" t="s">
        <v>22</v>
      </c>
      <c r="G3" s="63"/>
    </row>
    <row r="4" spans="1:7" ht="14.25" x14ac:dyDescent="0.2">
      <c r="C4" s="67"/>
      <c r="D4" s="67"/>
      <c r="E4" s="67"/>
      <c r="F4" s="67"/>
      <c r="G4" s="66"/>
    </row>
    <row r="5" spans="1:7" ht="14.25" x14ac:dyDescent="0.2">
      <c r="C5" s="67"/>
      <c r="D5" s="67"/>
      <c r="E5" s="67"/>
      <c r="F5" s="67"/>
      <c r="G5" s="66"/>
    </row>
    <row r="6" spans="1:7" ht="14.25" x14ac:dyDescent="0.2">
      <c r="A6" s="158" t="s">
        <v>89</v>
      </c>
      <c r="C6" s="183">
        <v>1000</v>
      </c>
      <c r="D6" s="183">
        <v>900</v>
      </c>
      <c r="E6" s="183">
        <v>10000</v>
      </c>
      <c r="F6" s="183">
        <v>5000</v>
      </c>
      <c r="G6" s="66"/>
    </row>
    <row r="7" spans="1:7" ht="3.75" customHeight="1" x14ac:dyDescent="0.2">
      <c r="C7" s="183"/>
      <c r="D7" s="183"/>
      <c r="E7" s="183"/>
      <c r="F7" s="183"/>
      <c r="G7" s="66"/>
    </row>
    <row r="8" spans="1:7" ht="14.25" customHeight="1" x14ac:dyDescent="0.2">
      <c r="A8" s="158" t="s">
        <v>90</v>
      </c>
      <c r="C8" s="183"/>
      <c r="D8" s="183"/>
      <c r="E8" s="183">
        <v>1200</v>
      </c>
      <c r="F8" s="183">
        <v>400</v>
      </c>
      <c r="G8" s="66"/>
    </row>
    <row r="9" spans="1:7" ht="3.75" customHeight="1" x14ac:dyDescent="0.2">
      <c r="C9" s="184"/>
      <c r="D9" s="184"/>
      <c r="E9" s="184"/>
      <c r="F9" s="184"/>
      <c r="G9" s="66"/>
    </row>
    <row r="10" spans="1:7" ht="3.75" customHeight="1" x14ac:dyDescent="0.2">
      <c r="C10" s="184"/>
      <c r="D10" s="184"/>
      <c r="E10" s="184"/>
      <c r="F10" s="184"/>
      <c r="G10" s="66"/>
    </row>
    <row r="11" spans="1:7" ht="3.75" customHeight="1" x14ac:dyDescent="0.2">
      <c r="C11" s="184"/>
      <c r="D11" s="184"/>
      <c r="E11" s="184"/>
      <c r="F11" s="184"/>
      <c r="G11" s="66"/>
    </row>
    <row r="12" spans="1:7" ht="14.25" x14ac:dyDescent="0.2">
      <c r="A12" s="149" t="s">
        <v>27</v>
      </c>
      <c r="C12" s="183">
        <v>225</v>
      </c>
      <c r="D12" s="183"/>
      <c r="E12" s="184"/>
      <c r="F12" s="184"/>
      <c r="G12" s="66"/>
    </row>
    <row r="13" spans="1:7" ht="4.5" customHeight="1" x14ac:dyDescent="0.2">
      <c r="A13" s="149"/>
      <c r="C13" s="184"/>
      <c r="D13" s="184"/>
      <c r="E13" s="184"/>
      <c r="F13" s="184"/>
      <c r="G13" s="66"/>
    </row>
    <row r="14" spans="1:7" ht="14.25" x14ac:dyDescent="0.2">
      <c r="A14" s="149" t="s">
        <v>28</v>
      </c>
      <c r="C14" s="184">
        <v>160</v>
      </c>
      <c r="D14" s="184">
        <v>0</v>
      </c>
      <c r="E14" s="184"/>
      <c r="F14" s="184"/>
      <c r="G14" s="66"/>
    </row>
    <row r="15" spans="1:7" ht="4.5" customHeight="1" x14ac:dyDescent="0.2">
      <c r="A15" s="149"/>
      <c r="C15" s="184"/>
      <c r="D15" s="184"/>
      <c r="E15" s="184"/>
      <c r="F15" s="184"/>
      <c r="G15" s="66"/>
    </row>
    <row r="16" spans="1:7" ht="14.25" x14ac:dyDescent="0.2">
      <c r="A16" s="149" t="s">
        <v>29</v>
      </c>
      <c r="C16" s="184">
        <v>220</v>
      </c>
      <c r="D16" s="184">
        <v>150</v>
      </c>
      <c r="E16" s="184"/>
      <c r="F16" s="184"/>
      <c r="G16" s="66"/>
    </row>
    <row r="17" spans="1:7" ht="4.5" customHeight="1" x14ac:dyDescent="0.2">
      <c r="A17" s="149"/>
      <c r="C17" s="184"/>
      <c r="D17" s="184"/>
      <c r="E17" s="184"/>
      <c r="F17" s="184"/>
      <c r="G17" s="66"/>
    </row>
    <row r="18" spans="1:7" ht="14.25" x14ac:dyDescent="0.2">
      <c r="A18" s="149" t="s">
        <v>30</v>
      </c>
      <c r="C18" s="184"/>
      <c r="D18" s="184"/>
      <c r="E18" s="184">
        <v>1300</v>
      </c>
      <c r="F18" s="184"/>
      <c r="G18" s="66"/>
    </row>
    <row r="19" spans="1:7" ht="4.5" customHeight="1" x14ac:dyDescent="0.2">
      <c r="A19" s="149"/>
      <c r="C19" s="184"/>
      <c r="D19" s="184"/>
      <c r="E19" s="184"/>
      <c r="F19" s="184"/>
      <c r="G19" s="66"/>
    </row>
    <row r="20" spans="1:7" ht="14.25" x14ac:dyDescent="0.2">
      <c r="A20" s="149" t="s">
        <v>31</v>
      </c>
      <c r="C20" s="184"/>
      <c r="D20" s="184">
        <v>25</v>
      </c>
      <c r="E20" s="184"/>
      <c r="F20" s="184"/>
      <c r="G20" s="66"/>
    </row>
    <row r="21" spans="1:7" ht="4.5" customHeight="1" x14ac:dyDescent="0.2">
      <c r="A21" s="149"/>
      <c r="C21" s="184"/>
      <c r="D21" s="184"/>
      <c r="E21" s="184"/>
      <c r="F21" s="184"/>
      <c r="G21" s="66"/>
    </row>
    <row r="22" spans="1:7" ht="14.25" x14ac:dyDescent="0.2">
      <c r="A22" s="149" t="s">
        <v>32</v>
      </c>
      <c r="C22" s="185"/>
      <c r="D22" s="184">
        <v>400</v>
      </c>
      <c r="E22" s="184"/>
      <c r="F22" s="184"/>
      <c r="G22" s="66"/>
    </row>
    <row r="23" spans="1:7" ht="4.5" customHeight="1" x14ac:dyDescent="0.2">
      <c r="A23" s="149"/>
      <c r="C23" s="184"/>
      <c r="D23" s="184"/>
      <c r="E23" s="184"/>
      <c r="F23" s="184"/>
      <c r="G23" s="66"/>
    </row>
    <row r="24" spans="1:7" ht="14.25" x14ac:dyDescent="0.2">
      <c r="A24" s="149" t="s">
        <v>33</v>
      </c>
      <c r="C24" s="185"/>
      <c r="D24" s="184">
        <v>1500</v>
      </c>
      <c r="E24" s="184"/>
      <c r="F24" s="184"/>
      <c r="G24" s="66"/>
    </row>
    <row r="25" spans="1:7" ht="4.5" customHeight="1" x14ac:dyDescent="0.2">
      <c r="A25" s="149"/>
      <c r="C25" s="184"/>
      <c r="D25" s="184"/>
      <c r="E25" s="184"/>
      <c r="F25" s="184"/>
      <c r="G25" s="66"/>
    </row>
    <row r="26" spans="1:7" ht="14.25" x14ac:dyDescent="0.2">
      <c r="A26" s="149" t="s">
        <v>34</v>
      </c>
      <c r="C26" s="184"/>
      <c r="D26" s="186"/>
      <c r="E26" s="184">
        <v>50000</v>
      </c>
      <c r="F26" s="184">
        <v>5000</v>
      </c>
      <c r="G26" s="66"/>
    </row>
    <row r="27" spans="1:7" ht="4.5" customHeight="1" x14ac:dyDescent="0.2">
      <c r="A27" s="149"/>
      <c r="C27" s="183"/>
      <c r="D27" s="183"/>
      <c r="E27" s="183"/>
      <c r="F27" s="183"/>
      <c r="G27" s="66"/>
    </row>
    <row r="28" spans="1:7" ht="14.25" x14ac:dyDescent="0.2">
      <c r="A28" s="149" t="s">
        <v>35</v>
      </c>
      <c r="C28" s="183"/>
      <c r="D28" s="183">
        <v>1000</v>
      </c>
      <c r="E28" s="183">
        <v>16000</v>
      </c>
      <c r="F28" s="183">
        <v>8000</v>
      </c>
      <c r="G28" s="66"/>
    </row>
    <row r="29" spans="1:7" ht="14.25" x14ac:dyDescent="0.2">
      <c r="C29" s="183"/>
      <c r="D29" s="183"/>
      <c r="E29" s="183"/>
      <c r="F29" s="183"/>
      <c r="G29" s="66"/>
    </row>
    <row r="30" spans="1:7" ht="14.25" x14ac:dyDescent="0.2">
      <c r="A30" s="158" t="s">
        <v>109</v>
      </c>
      <c r="C30" s="183"/>
      <c r="D30" s="183"/>
      <c r="E30" s="183"/>
      <c r="F30" s="183"/>
      <c r="G30" s="66"/>
    </row>
    <row r="31" spans="1:7" ht="14.25" x14ac:dyDescent="0.2">
      <c r="A31" s="158" t="s">
        <v>106</v>
      </c>
      <c r="C31" s="183">
        <v>18</v>
      </c>
      <c r="D31" s="183"/>
      <c r="E31" s="183"/>
      <c r="F31" s="183"/>
      <c r="G31" s="77"/>
    </row>
    <row r="32" spans="1:7" ht="15.75" x14ac:dyDescent="0.25">
      <c r="A32" s="158" t="s">
        <v>107</v>
      </c>
      <c r="C32" s="187">
        <v>75</v>
      </c>
      <c r="D32" s="188"/>
      <c r="E32" s="188"/>
      <c r="F32" s="188"/>
      <c r="G32" s="85"/>
    </row>
    <row r="33" spans="1:7" ht="14.25" x14ac:dyDescent="0.2">
      <c r="A33" s="158" t="s">
        <v>108</v>
      </c>
      <c r="C33" s="183">
        <v>125</v>
      </c>
      <c r="D33" s="183"/>
      <c r="E33" s="183"/>
      <c r="F33" s="183"/>
      <c r="G33" s="77"/>
    </row>
    <row r="34" spans="1:7" ht="14.25" x14ac:dyDescent="0.2">
      <c r="C34" s="67"/>
      <c r="D34" s="67"/>
      <c r="E34" s="67"/>
      <c r="F34" s="67"/>
      <c r="G34" s="77"/>
    </row>
    <row r="35" spans="1:7" ht="15.75" x14ac:dyDescent="0.25">
      <c r="C35" s="59"/>
      <c r="D35" s="59"/>
      <c r="E35" s="59"/>
      <c r="F35" s="59"/>
      <c r="G35" s="85"/>
    </row>
    <row r="36" spans="1:7" ht="14.25" x14ac:dyDescent="0.2">
      <c r="C36" s="67"/>
      <c r="D36" s="67"/>
      <c r="E36" s="67"/>
      <c r="F36" s="67"/>
      <c r="G36" s="77"/>
    </row>
    <row r="37" spans="1:7" ht="14.25" x14ac:dyDescent="0.2">
      <c r="C37" s="67"/>
      <c r="D37" s="67"/>
      <c r="E37" s="67"/>
      <c r="F37" s="67"/>
      <c r="G37" s="77"/>
    </row>
    <row r="38" spans="1:7" x14ac:dyDescent="0.2">
      <c r="C38" s="150"/>
      <c r="D38" s="150"/>
      <c r="E38" s="150"/>
      <c r="F38" s="150"/>
      <c r="G38" s="151"/>
    </row>
  </sheetData>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57"/>
  <sheetViews>
    <sheetView workbookViewId="0">
      <selection activeCell="K166" sqref="K166"/>
    </sheetView>
  </sheetViews>
  <sheetFormatPr defaultRowHeight="12.75" x14ac:dyDescent="0.2"/>
  <sheetData>
    <row r="2" spans="1:7" x14ac:dyDescent="0.2">
      <c r="F2" s="145" t="s">
        <v>85</v>
      </c>
      <c r="G2" s="145" t="s">
        <v>88</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85" t="s">
        <v>8</v>
      </c>
    </row>
    <row r="57" spans="1:1" ht="15.75" x14ac:dyDescent="0.25">
      <c r="A57" s="85" t="s">
        <v>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160</vt:i4>
      </vt:variant>
    </vt:vector>
  </HeadingPairs>
  <TitlesOfParts>
    <vt:vector size="161" baseType="lpstr">
      <vt:lpstr>Plan Comparison Calculator</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Ochinang, Aileen V</cp:lastModifiedBy>
  <cp:lastPrinted>2018-12-20T18:43:33Z</cp:lastPrinted>
  <dcterms:created xsi:type="dcterms:W3CDTF">2010-01-15T23:14:27Z</dcterms:created>
  <dcterms:modified xsi:type="dcterms:W3CDTF">2019-03-29T23:35:25Z</dcterms:modified>
</cp:coreProperties>
</file>