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Y:\MY DOCUMENTS\Projects for Aileen\Open Enrollment\Open Enrollment 2027\"/>
    </mc:Choice>
  </mc:AlternateContent>
  <xr:revisionPtr revIDLastSave="0" documentId="13_ncr:1_{D24FE711-09A7-45C5-A322-0C5904B40786}" xr6:coauthVersionLast="47" xr6:coauthVersionMax="47" xr10:uidLastSave="{00000000-0000-0000-0000-000000000000}"/>
  <bookViews>
    <workbookView xWindow="-120" yWindow="-120" windowWidth="25440" windowHeight="15270" xr2:uid="{00000000-000D-0000-FFFF-FFFF00000000}"/>
  </bookViews>
  <sheets>
    <sheet name="Plan Comparison Calculator" sheetId="1" r:id="rId1"/>
    <sheet name="OOP Calc" sheetId="2" state="veryHidden" r:id="rId2"/>
    <sheet name="Plan Defn" sheetId="3" state="veryHidden" r:id="rId3"/>
    <sheet name="Base Costs" sheetId="4" state="veryHidden" r:id="rId4"/>
    <sheet name="Drop Down Parameters" sheetId="5" state="veryHidden" r:id="rId5"/>
  </sheets>
  <definedNames>
    <definedName name="Baby_Facility">'Base Costs'!$E$8</definedName>
    <definedName name="Baby_Physician">'Base Costs'!$F$8</definedName>
    <definedName name="CatScan">'Base Costs'!$D$24</definedName>
    <definedName name="Coverage">'Plan Defn'!$A$36:$A$39</definedName>
    <definedName name="EE_Phys">'Drop Down Parameters'!$C$8:$C$9</definedName>
    <definedName name="EEPhys">'Drop Down Parameters'!$C$8</definedName>
    <definedName name="Employee_CostShare">'Plan Defn'!$A$36:$E$39</definedName>
    <definedName name="ER">'Base Costs'!$E$18</definedName>
    <definedName name="ER_IP">'Base Costs'!$E$18</definedName>
    <definedName name="Error">'Plan Comparison Calculator'!$R$14</definedName>
    <definedName name="Formulary">'Drop Down Parameters'!$A$21:$A$30</definedName>
    <definedName name="FSA_Contribution">'Plan Defn'!$E$43:$E$46</definedName>
    <definedName name="Generic">'Drop Down Parameters'!$A$8:$A$17</definedName>
    <definedName name="HSA_Contribution">'Plan Defn'!$A$43:$B$46</definedName>
    <definedName name="IP_Facility">'Base Costs'!$E$28</definedName>
    <definedName name="IP_Hosp">'Base Costs'!$E$28</definedName>
    <definedName name="IP_Physician">'Base Costs'!$F$28</definedName>
    <definedName name="IP_XrayLab">'Base Costs'!$D$28</definedName>
    <definedName name="Lab">'Base Costs'!$D$20</definedName>
    <definedName name="Matenity_XrayLab">'Base Costs'!$D$6</definedName>
    <definedName name="Maternity_Facility">'Base Costs'!$E$6</definedName>
    <definedName name="Maternity_Inpatient">'Base Costs'!$E$7</definedName>
    <definedName name="Maternity_Office">'Base Costs'!$C$6</definedName>
    <definedName name="Maternity_Physician">'Base Costs'!$F$6</definedName>
    <definedName name="Maternity_XrayLab">'Base Costs'!$D$6</definedName>
    <definedName name="Network_Choice">'Drop Down Parameters'!$A$56:$A$57</definedName>
    <definedName name="NonFormulary">'Drop Down Parameters'!$A$33:$A$52</definedName>
    <definedName name="OONCostLoad">'OOP Calc'!$B$1</definedName>
    <definedName name="P1_Carrier">'Plan Defn'!$B$2</definedName>
    <definedName name="P1_Coins">'Plan Defn'!$D$21</definedName>
    <definedName name="P1_Deduct">'Plan Defn'!$D$6</definedName>
    <definedName name="P1_ER">'Plan Defn'!$D$17</definedName>
    <definedName name="P1_FamMult">'Plan Defn'!$D$7</definedName>
    <definedName name="P1_In_Coins">'Plan Defn'!$B$21</definedName>
    <definedName name="P1_In_Deduct">'Plan Defn'!$B$6</definedName>
    <definedName name="P1_In_ER">'Plan Defn'!$B$17</definedName>
    <definedName name="P1_In_FamMult">'Plan Defn'!$B$7</definedName>
    <definedName name="P1_In_IP_Hosp_Copay">'Plan Defn'!$B$18</definedName>
    <definedName name="P1_In_LabMax">'Plan Defn'!$B$22</definedName>
    <definedName name="P1_In_Maternity_IP_Copay">'Plan Defn'!$B$19</definedName>
    <definedName name="P1_In_OOPMax">'Plan Defn'!$B$8</definedName>
    <definedName name="P1_In_OP_Surgery_Copay">'Plan Defn'!$B$20</definedName>
    <definedName name="P1_In_Ov">'Plan Defn'!$B$11</definedName>
    <definedName name="P1_In_OVCoins">'Plan Defn'!$B$15</definedName>
    <definedName name="P1_In_Rx1">'Plan Defn'!$B$27</definedName>
    <definedName name="P1_In_Rx2">'Plan Defn'!$B$28</definedName>
    <definedName name="P1_In_Rx3">'Plan Defn'!$B$29</definedName>
    <definedName name="P1_IP_Hosp_Copay">'Plan Defn'!$D$18</definedName>
    <definedName name="P1_LabMax">'Plan Defn'!$D$22</definedName>
    <definedName name="P1_Maternity_IP_Copay">'Plan Defn'!$D$19</definedName>
    <definedName name="P1_OOPMax">'Plan Defn'!$D$8</definedName>
    <definedName name="P1_OP_Surg_Copay">'Plan Defn'!$D$20</definedName>
    <definedName name="P1_Out_Coins">'Plan Defn'!$C$21</definedName>
    <definedName name="P1_Out_Deduct">'Plan Defn'!$C$6</definedName>
    <definedName name="P1_Out_ER">'Plan Defn'!$C$17</definedName>
    <definedName name="P1_Out_FamMult">'Plan Defn'!$C$7</definedName>
    <definedName name="P1_Out_IP_Hosp_Copay">'Plan Defn'!$C$18</definedName>
    <definedName name="P1_Out_LabMax">'Plan Defn'!$C$22</definedName>
    <definedName name="P1_Out_Maternity_IP_Copay">'Plan Defn'!$C$19</definedName>
    <definedName name="P1_Out_OOPMax">'Plan Defn'!$C$8</definedName>
    <definedName name="P1_Out_OP_Surgery_Copay">'Plan Defn'!$C$20</definedName>
    <definedName name="P1_Out_Ov">'Plan Defn'!$C$11</definedName>
    <definedName name="P1_Out_OVCoins">'Plan Defn'!$C$15</definedName>
    <definedName name="P1_Out_Rx1">'Plan Defn'!$C$27</definedName>
    <definedName name="P1_Out_Rx2">'Plan Defn'!$C$28</definedName>
    <definedName name="P1_Out_Rx3">'Plan Defn'!$C$29</definedName>
    <definedName name="P1_OV">'Plan Defn'!$D$11</definedName>
    <definedName name="P1_OVCoins">'Plan Defn'!$D$15</definedName>
    <definedName name="P1_Plan">'Plan Defn'!$B$3</definedName>
    <definedName name="P1_Rx1">'Plan Defn'!$D$27</definedName>
    <definedName name="P1_Rx2">'Plan Defn'!$D$28</definedName>
    <definedName name="P1_Rx3">'Plan Defn'!$D$29</definedName>
    <definedName name="P1_RxDed">'Plan Defn'!$B$26</definedName>
    <definedName name="P1_RxDeduct">'Plan Defn'!$B$26</definedName>
    <definedName name="P2_Carrier">'Plan Defn'!$E$2</definedName>
    <definedName name="P2_Coins">'Plan Defn'!$G$21</definedName>
    <definedName name="P2_Deduct">'Plan Defn'!$G$6</definedName>
    <definedName name="P2_ER">'Plan Defn'!$G$17</definedName>
    <definedName name="P2_FamMult">'Plan Defn'!$G$7</definedName>
    <definedName name="P2_In_Coins">'Plan Defn'!$E$21</definedName>
    <definedName name="P2_In_Deduct">'Plan Defn'!$E$6</definedName>
    <definedName name="P2_In_ER">'Plan Defn'!$E$17</definedName>
    <definedName name="P2_In_FamMult">'Plan Defn'!$E$7</definedName>
    <definedName name="P2_In_IP_Hosp_Copay">'Plan Defn'!$E$18</definedName>
    <definedName name="P2_In_LabMax">'Plan Defn'!$E$22</definedName>
    <definedName name="P2_In_Maternity_IP_Copay">'Plan Defn'!$E$19</definedName>
    <definedName name="P2_In_OOPMax">'Plan Defn'!$E$8</definedName>
    <definedName name="P2_In_OP_Surgery_Copay">'Plan Defn'!$E$20</definedName>
    <definedName name="P2_In_OV">'Plan Defn'!$E$11</definedName>
    <definedName name="P2_In_OVCoins">'Plan Defn'!$E$15</definedName>
    <definedName name="P2_In_Rx1">'Plan Defn'!$E$27</definedName>
    <definedName name="P2_In_Rx2">'Plan Defn'!$E$28</definedName>
    <definedName name="P2_In_Rx3">'Plan Defn'!$E$29</definedName>
    <definedName name="P2_IP_Hosp_Copay">'Plan Defn'!$G$18</definedName>
    <definedName name="P2_LabMax">'Plan Defn'!$G$22</definedName>
    <definedName name="P2_Maternity_IP_Copay">'Plan Defn'!$G$19</definedName>
    <definedName name="P2_OOPMax">'Plan Defn'!$G$8</definedName>
    <definedName name="P2_OP_Surg_Copay">'Plan Defn'!$G$20</definedName>
    <definedName name="P2_Out_Coins">'Plan Defn'!$F$21</definedName>
    <definedName name="P2_Out_Deduct">'Plan Defn'!$F$6</definedName>
    <definedName name="P2_Out_ER">'Plan Defn'!$F$17</definedName>
    <definedName name="P2_Out_FamMult">'Plan Defn'!$F$7</definedName>
    <definedName name="P2_Out_IP_Hosp_Copay">'Plan Defn'!$F$18</definedName>
    <definedName name="P2_Out_LabMax">'Plan Defn'!$F$22</definedName>
    <definedName name="P2_Out_Maternity_IP_Copay">'Plan Defn'!$F$19</definedName>
    <definedName name="P2_Out_OOPMax">'Plan Defn'!$F$8</definedName>
    <definedName name="P2_Out_OP_Surgery_Copay">'Plan Defn'!$F$20</definedName>
    <definedName name="P2_Out_OV">'Plan Defn'!$F$11</definedName>
    <definedName name="P2_Out_OVCoins">'Plan Defn'!$F$15</definedName>
    <definedName name="P2_Out_Rx1">'Plan Defn'!$F$27</definedName>
    <definedName name="P2_Out_Rx2">'Plan Defn'!$F$28</definedName>
    <definedName name="P2_Out_Rx3">'Plan Defn'!$F$29</definedName>
    <definedName name="P2_OV">'Plan Defn'!$G$11</definedName>
    <definedName name="P2_OVCoins">'Plan Defn'!$G$15</definedName>
    <definedName name="P2_Plan">'Plan Defn'!$E$3</definedName>
    <definedName name="P2_Rx1">'Plan Defn'!$G$27</definedName>
    <definedName name="P2_Rx2">'Plan Defn'!$G$28</definedName>
    <definedName name="P2_Rx3">'Plan Defn'!$G$29</definedName>
    <definedName name="P2_RxDeduct">'Plan Defn'!$E$26</definedName>
    <definedName name="P3_In_Coins">'Plan Defn'!$H$21</definedName>
    <definedName name="P3_In_Deduct">'Plan Defn'!$H$6</definedName>
    <definedName name="P3_In_ER">'Plan Defn'!$H$17</definedName>
    <definedName name="P3_In_FamMult">'Plan Defn'!$H$7</definedName>
    <definedName name="P3_In_IP_Hosp_Copay">'Plan Defn'!$H$18</definedName>
    <definedName name="P3_In_LabMax">'Plan Defn'!$H$22</definedName>
    <definedName name="P3_In_Maternity_IP_Copay">'Plan Defn'!$H$19</definedName>
    <definedName name="P3_In_OOPMax">'Plan Defn'!$H$8</definedName>
    <definedName name="P3_In_OP_Surgery_Copay">'Plan Defn'!$H$20</definedName>
    <definedName name="P3_In_OV">'Plan Defn'!$H$11</definedName>
    <definedName name="P3_In_OVCoins">'Plan Defn'!$H$15</definedName>
    <definedName name="P3_In_Rx1">'Plan Defn'!$H$27</definedName>
    <definedName name="P3_In_Rx2">'Plan Defn'!$H$28</definedName>
    <definedName name="P3_In_Rx3">'Plan Defn'!$H$29</definedName>
    <definedName name="P3_Out_Coins">'Plan Defn'!$I$21</definedName>
    <definedName name="P3_Out_Deduct">'Plan Defn'!$I$6</definedName>
    <definedName name="P3_Out_ER">'Plan Defn'!$I$17</definedName>
    <definedName name="P3_Out_FamMult">'Plan Defn'!$I$7</definedName>
    <definedName name="P3_Out_IP_Hosp_Copay">'Plan Defn'!$I$18</definedName>
    <definedName name="P3_Out_LabMax">'Plan Defn'!$I$22</definedName>
    <definedName name="P3_Out_Maternity_IP_Copay">'Plan Defn'!$I$19</definedName>
    <definedName name="P3_Out_OOPMax">'Plan Defn'!$I$8</definedName>
    <definedName name="P3_Out_OP_Surgery_Copay">'Plan Defn'!$I$20</definedName>
    <definedName name="P3_Out_OV">'Plan Defn'!$I$11</definedName>
    <definedName name="P3_Out_OVCoins">'Plan Defn'!$I$15</definedName>
    <definedName name="P3_Out_Rx1">'Plan Defn'!$I$27</definedName>
    <definedName name="P3_Out_Rx2">'Plan Defn'!$I$28</definedName>
    <definedName name="P3_Out_Rx3">'Plan Defn'!$I$29</definedName>
    <definedName name="P3_Plan">'Plan Defn'!$H$3</definedName>
    <definedName name="Physical_Office">'Base Costs'!$C$12</definedName>
    <definedName name="Physical_XrayLab">'Base Costs'!$D$12</definedName>
    <definedName name="Primary_Office">'Base Costs'!$C$14</definedName>
    <definedName name="Primary_XrayLab">'Base Costs'!$D$14</definedName>
    <definedName name="_xlnm.Print_Area" localSheetId="0">'Plan Comparison Calculator'!$B$2:$L$60</definedName>
    <definedName name="Specialist_Office">'Base Costs'!$C$16</definedName>
    <definedName name="Specialist_XrayLab">'Base Costs'!$D$16</definedName>
    <definedName name="Surgery_Facility">'Base Costs'!$E$26</definedName>
    <definedName name="Surgery_Physician">'Base Costs'!$F$26</definedName>
    <definedName name="Surgery_XrayLab">'Base Costs'!$E$26</definedName>
    <definedName name="Visits">'Drop Down Parameters'!$C$13:$C$37</definedName>
    <definedName name="Xray">'Base Costs'!$D$22</definedName>
    <definedName name="Z_8FCA42AA_6BA7_4AC9_AD93_66FC46E49A7F_.wvu.PrintArea" localSheetId="0" hidden="1">'Plan Comparison Calculator'!$B$2:$L$60</definedName>
    <definedName name="Z_8FCA42AA_6BA7_4AC9_AD93_66FC46E49A7F_.wvu.Rows" localSheetId="0" hidden="1">'Plan Comparison Calculator'!$51:$51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00" i="2" l="1"/>
  <c r="C50" i="3"/>
  <c r="C49" i="3"/>
  <c r="B50" i="3"/>
  <c r="B49" i="3"/>
  <c r="E49" i="3" l="1"/>
  <c r="G49" i="1" l="1"/>
  <c r="B45" i="3" l="1"/>
  <c r="B44" i="3"/>
  <c r="B43" i="3"/>
  <c r="C76" i="2" l="1"/>
  <c r="E76" i="2" s="1"/>
  <c r="C78" i="2"/>
  <c r="E68" i="2"/>
  <c r="G68" i="2"/>
  <c r="G74" i="2"/>
  <c r="G76" i="2"/>
  <c r="G78" i="2"/>
  <c r="C80" i="2"/>
  <c r="C88" i="2"/>
  <c r="C90" i="2"/>
  <c r="I68" i="2"/>
  <c r="K68" i="2"/>
  <c r="N76" i="2"/>
  <c r="N78" i="2"/>
  <c r="P68" i="2"/>
  <c r="R68" i="2"/>
  <c r="R74" i="2"/>
  <c r="R76" i="2"/>
  <c r="R78" i="2"/>
  <c r="N80" i="2"/>
  <c r="T80" i="2" s="1"/>
  <c r="N88" i="2"/>
  <c r="N90" i="2"/>
  <c r="T90" i="2" s="1"/>
  <c r="T68" i="2"/>
  <c r="V68" i="2"/>
  <c r="T2" i="2"/>
  <c r="Y76" i="2"/>
  <c r="AA76" i="2" s="1"/>
  <c r="Y78" i="2"/>
  <c r="AC74" i="2"/>
  <c r="AC76" i="2"/>
  <c r="AC78" i="2"/>
  <c r="Y80" i="2"/>
  <c r="Y88" i="2"/>
  <c r="Y90" i="2"/>
  <c r="AE68" i="2"/>
  <c r="AG88" i="2"/>
  <c r="AG68" i="2"/>
  <c r="AE2" i="2"/>
  <c r="F78" i="2"/>
  <c r="F68" i="2"/>
  <c r="H68" i="2"/>
  <c r="H74" i="2"/>
  <c r="H76" i="2"/>
  <c r="H78" i="2"/>
  <c r="H82" i="2"/>
  <c r="H84" i="2"/>
  <c r="H86" i="2"/>
  <c r="H90" i="2"/>
  <c r="J68" i="2"/>
  <c r="L88" i="2"/>
  <c r="L90" i="2"/>
  <c r="L68" i="2"/>
  <c r="Q68" i="2"/>
  <c r="S68" i="2"/>
  <c r="S74" i="2"/>
  <c r="S76" i="2"/>
  <c r="S78" i="2"/>
  <c r="S82" i="2"/>
  <c r="S84" i="2"/>
  <c r="S86" i="2"/>
  <c r="S90" i="2"/>
  <c r="U68" i="2"/>
  <c r="W88" i="2"/>
  <c r="W90" i="2"/>
  <c r="W68" i="2"/>
  <c r="AD74" i="2"/>
  <c r="AD76" i="2"/>
  <c r="AD78" i="2"/>
  <c r="AD82" i="2"/>
  <c r="AD84" i="2"/>
  <c r="AD86" i="2"/>
  <c r="AD90" i="2"/>
  <c r="AF68" i="2"/>
  <c r="AH88" i="2"/>
  <c r="AH90" i="2"/>
  <c r="AH68" i="2"/>
  <c r="AC14" i="2"/>
  <c r="AC16" i="2"/>
  <c r="AC18" i="2"/>
  <c r="Y16" i="2"/>
  <c r="AA16" i="2"/>
  <c r="Y18" i="2"/>
  <c r="Y20" i="2"/>
  <c r="AE20" i="2" s="1"/>
  <c r="Y28" i="2"/>
  <c r="AE28" i="2" s="1"/>
  <c r="Y30" i="2"/>
  <c r="AE8" i="2"/>
  <c r="AG8" i="2"/>
  <c r="C16" i="2"/>
  <c r="E16" i="2" s="1"/>
  <c r="C18" i="2"/>
  <c r="E8" i="2"/>
  <c r="G8" i="2"/>
  <c r="G14" i="2"/>
  <c r="G16" i="2"/>
  <c r="G18" i="2"/>
  <c r="C20" i="2"/>
  <c r="C28" i="2"/>
  <c r="C30" i="2"/>
  <c r="I8" i="2"/>
  <c r="K8" i="2"/>
  <c r="N16" i="2"/>
  <c r="N18" i="2"/>
  <c r="P18" i="2" s="1"/>
  <c r="P8" i="2"/>
  <c r="R8" i="2"/>
  <c r="R14" i="2"/>
  <c r="R16" i="2"/>
  <c r="R18" i="2"/>
  <c r="N20" i="2"/>
  <c r="T20" i="2" s="1"/>
  <c r="N28" i="2"/>
  <c r="N30" i="2"/>
  <c r="T8" i="2"/>
  <c r="V8" i="2"/>
  <c r="C74" i="2"/>
  <c r="E74" i="2" s="1"/>
  <c r="C68" i="2"/>
  <c r="N74" i="2"/>
  <c r="P74" i="2" s="1"/>
  <c r="N68" i="2"/>
  <c r="Y74" i="2"/>
  <c r="AA74" i="2" s="1"/>
  <c r="C97" i="2"/>
  <c r="C98" i="2"/>
  <c r="C99" i="2"/>
  <c r="G202" i="2"/>
  <c r="R84" i="2"/>
  <c r="AC26" i="2"/>
  <c r="G90" i="2"/>
  <c r="K88" i="2"/>
  <c r="AG30" i="2"/>
  <c r="G198" i="2"/>
  <c r="G204" i="2"/>
  <c r="G206" i="2"/>
  <c r="G210" i="2"/>
  <c r="G188" i="2"/>
  <c r="G194" i="2"/>
  <c r="G196" i="2"/>
  <c r="C196" i="2"/>
  <c r="E196" i="2" s="1"/>
  <c r="C198" i="2"/>
  <c r="E198" i="2" s="1"/>
  <c r="E188" i="2"/>
  <c r="I200" i="2"/>
  <c r="C208" i="2"/>
  <c r="C210" i="2"/>
  <c r="I188" i="2"/>
  <c r="K208" i="2"/>
  <c r="K210" i="2"/>
  <c r="K188" i="2"/>
  <c r="R198" i="2"/>
  <c r="R204" i="2"/>
  <c r="R206" i="2"/>
  <c r="R210" i="2"/>
  <c r="R188" i="2"/>
  <c r="R194" i="2"/>
  <c r="R196" i="2"/>
  <c r="N196" i="2"/>
  <c r="P196" i="2" s="1"/>
  <c r="N198" i="2"/>
  <c r="P198" i="2"/>
  <c r="P188" i="2"/>
  <c r="N200" i="2"/>
  <c r="T200" i="2" s="1"/>
  <c r="N208" i="2"/>
  <c r="T208" i="2" s="1"/>
  <c r="N210" i="2"/>
  <c r="T210" i="2" s="1"/>
  <c r="T188" i="2"/>
  <c r="V208" i="2"/>
  <c r="V210" i="2"/>
  <c r="V188" i="2"/>
  <c r="AC198" i="2"/>
  <c r="AC204" i="2"/>
  <c r="AC206" i="2"/>
  <c r="AC210" i="2"/>
  <c r="AC194" i="2"/>
  <c r="AC196" i="2"/>
  <c r="Y196" i="2"/>
  <c r="AA196" i="2"/>
  <c r="Y198" i="2"/>
  <c r="AA198" i="2" s="1"/>
  <c r="Y200" i="2"/>
  <c r="AE200" i="2"/>
  <c r="Y208" i="2"/>
  <c r="AE208" i="2"/>
  <c r="Y210" i="2"/>
  <c r="AE210" i="2"/>
  <c r="AE188" i="2"/>
  <c r="AG208" i="2"/>
  <c r="AG210" i="2"/>
  <c r="AG188" i="2"/>
  <c r="N138" i="2"/>
  <c r="N140" i="2" s="1"/>
  <c r="T140" i="2" s="1"/>
  <c r="N136" i="2"/>
  <c r="N134" i="2"/>
  <c r="P134" i="2" s="1"/>
  <c r="N148" i="2"/>
  <c r="N150" i="2"/>
  <c r="N128" i="2"/>
  <c r="Y136" i="2"/>
  <c r="Y138" i="2"/>
  <c r="Y140" i="2"/>
  <c r="Y134" i="2"/>
  <c r="Y148" i="2"/>
  <c r="Y150" i="2"/>
  <c r="C134" i="2"/>
  <c r="E134" i="2" s="1"/>
  <c r="C136" i="2"/>
  <c r="C138" i="2"/>
  <c r="C140" i="2"/>
  <c r="C148" i="2"/>
  <c r="I148" i="2" s="1"/>
  <c r="C150" i="2"/>
  <c r="C128" i="2"/>
  <c r="E128" i="2"/>
  <c r="E154" i="2" s="1"/>
  <c r="G144" i="2"/>
  <c r="G146" i="2"/>
  <c r="G150" i="2"/>
  <c r="G128" i="2"/>
  <c r="G134" i="2"/>
  <c r="G136" i="2"/>
  <c r="I128" i="2"/>
  <c r="K148" i="2"/>
  <c r="K150" i="2"/>
  <c r="K128" i="2"/>
  <c r="P128" i="2"/>
  <c r="P154" i="2" s="1"/>
  <c r="R136" i="2"/>
  <c r="R144" i="2"/>
  <c r="R146" i="2"/>
  <c r="R150" i="2"/>
  <c r="R128" i="2"/>
  <c r="R134" i="2"/>
  <c r="T148" i="2"/>
  <c r="T128" i="2"/>
  <c r="V148" i="2"/>
  <c r="V150" i="2"/>
  <c r="V128" i="2"/>
  <c r="AA154" i="2"/>
  <c r="AC136" i="2"/>
  <c r="AC144" i="2"/>
  <c r="AC146" i="2"/>
  <c r="AC150" i="2"/>
  <c r="AC134" i="2"/>
  <c r="AE140" i="2"/>
  <c r="AE148" i="2"/>
  <c r="AE128" i="2"/>
  <c r="AG148" i="2"/>
  <c r="AG150" i="2"/>
  <c r="AG128" i="2"/>
  <c r="C157" i="2"/>
  <c r="C158" i="2"/>
  <c r="C159" i="2"/>
  <c r="H8" i="3"/>
  <c r="B46" i="3"/>
  <c r="H54" i="1"/>
  <c r="E50" i="3"/>
  <c r="G47" i="1"/>
  <c r="E241" i="2"/>
  <c r="E239" i="2"/>
  <c r="J11" i="1"/>
  <c r="K17" i="1"/>
  <c r="K19" i="1"/>
  <c r="K21" i="1"/>
  <c r="K23" i="1"/>
  <c r="K25" i="1"/>
  <c r="K27" i="1"/>
  <c r="K29" i="1"/>
  <c r="K31" i="1"/>
  <c r="K33" i="1"/>
  <c r="E238" i="2"/>
  <c r="E121" i="2"/>
  <c r="E119" i="2"/>
  <c r="E118" i="2"/>
  <c r="J49" i="1"/>
  <c r="E181" i="2"/>
  <c r="E179" i="2"/>
  <c r="E178" i="2"/>
  <c r="I49" i="1"/>
  <c r="G50" i="1"/>
  <c r="E180" i="2"/>
  <c r="E243" i="2"/>
  <c r="E242" i="2"/>
  <c r="E240" i="2"/>
  <c r="N194" i="2"/>
  <c r="P194" i="2" s="1"/>
  <c r="N188" i="2"/>
  <c r="C219" i="2"/>
  <c r="C218" i="2"/>
  <c r="C217" i="2"/>
  <c r="C194" i="2"/>
  <c r="E194" i="2" s="1"/>
  <c r="C188" i="2"/>
  <c r="A198" i="2"/>
  <c r="Y194" i="2"/>
  <c r="AA194" i="2"/>
  <c r="E182" i="2"/>
  <c r="E183" i="2"/>
  <c r="E120" i="2"/>
  <c r="E122" i="2"/>
  <c r="E123" i="2"/>
  <c r="Z74" i="2"/>
  <c r="AB74" i="2" s="1"/>
  <c r="O74" i="2"/>
  <c r="Q74" i="2" s="1"/>
  <c r="D74" i="2"/>
  <c r="F74" i="2" s="1"/>
  <c r="Y14" i="2"/>
  <c r="AA14" i="2"/>
  <c r="N14" i="2"/>
  <c r="P14" i="2" s="1"/>
  <c r="C14" i="2"/>
  <c r="E14" i="2" s="1"/>
  <c r="D80" i="2"/>
  <c r="J80" i="2" s="1"/>
  <c r="J47" i="1"/>
  <c r="I47" i="1"/>
  <c r="C37" i="2"/>
  <c r="C38" i="2"/>
  <c r="C39" i="2"/>
  <c r="C8" i="2"/>
  <c r="N8" i="2"/>
  <c r="D88" i="2"/>
  <c r="J88" i="2" s="1"/>
  <c r="O80" i="2"/>
  <c r="U80" i="2" s="1"/>
  <c r="O88" i="2"/>
  <c r="U88" i="2" s="1"/>
  <c r="Z80" i="2"/>
  <c r="AF80" i="2" s="1"/>
  <c r="Z88" i="2"/>
  <c r="AF88" i="2" s="1"/>
  <c r="D76" i="2"/>
  <c r="F76" i="2" s="1"/>
  <c r="D78" i="2"/>
  <c r="D90" i="2"/>
  <c r="J90" i="2" s="1"/>
  <c r="D68" i="2"/>
  <c r="O76" i="2"/>
  <c r="Q76" i="2" s="1"/>
  <c r="O78" i="2"/>
  <c r="Q78" i="2" s="1"/>
  <c r="O90" i="2"/>
  <c r="U90" i="2" s="1"/>
  <c r="O68" i="2"/>
  <c r="Z76" i="2"/>
  <c r="AB76" i="2" s="1"/>
  <c r="Z78" i="2"/>
  <c r="AB78" i="2" s="1"/>
  <c r="Z90" i="2"/>
  <c r="AF90" i="2" s="1"/>
  <c r="A10" i="2"/>
  <c r="A78" i="2"/>
  <c r="A138" i="2"/>
  <c r="B35" i="3"/>
  <c r="C35" i="3"/>
  <c r="E35" i="3"/>
  <c r="A9" i="5"/>
  <c r="A10" i="5"/>
  <c r="A11" i="5"/>
  <c r="A12" i="5"/>
  <c r="A13" i="5"/>
  <c r="A14" i="5"/>
  <c r="A15" i="5"/>
  <c r="A16" i="5"/>
  <c r="A17" i="5"/>
  <c r="A22" i="5"/>
  <c r="A23" i="5"/>
  <c r="A24" i="5"/>
  <c r="A25" i="5"/>
  <c r="A26" i="5"/>
  <c r="A27" i="5"/>
  <c r="A28" i="5"/>
  <c r="A29" i="5"/>
  <c r="A30" i="5"/>
  <c r="A34" i="5"/>
  <c r="A35" i="5"/>
  <c r="A36" i="5"/>
  <c r="A37" i="5"/>
  <c r="A38" i="5"/>
  <c r="A39" i="5"/>
  <c r="A40" i="5"/>
  <c r="A41" i="5"/>
  <c r="A42" i="5"/>
  <c r="A43" i="5"/>
  <c r="A44" i="5"/>
  <c r="A45" i="5"/>
  <c r="A46" i="5"/>
  <c r="A47" i="5"/>
  <c r="A48" i="5"/>
  <c r="A49" i="5"/>
  <c r="A50" i="5"/>
  <c r="A51" i="5"/>
  <c r="A52" i="5"/>
  <c r="AA134" i="2"/>
  <c r="I208" i="2" l="1"/>
  <c r="C214" i="2"/>
  <c r="L240" i="2" s="1"/>
  <c r="I140" i="2"/>
  <c r="C154" i="2"/>
  <c r="L180" i="2" s="1"/>
  <c r="Y214" i="2"/>
  <c r="Y225" i="2" s="1"/>
  <c r="Y154" i="2"/>
  <c r="Y165" i="2" s="1"/>
  <c r="Y34" i="2"/>
  <c r="Y45" i="2" s="1"/>
  <c r="C161" i="2"/>
  <c r="L181" i="2" s="1"/>
  <c r="C101" i="2"/>
  <c r="L121" i="2" s="1"/>
  <c r="C221" i="2"/>
  <c r="C41" i="2"/>
  <c r="O94" i="2"/>
  <c r="N34" i="2"/>
  <c r="N45" i="2" s="1"/>
  <c r="N94" i="2"/>
  <c r="N214" i="2"/>
  <c r="N225" i="2" s="1"/>
  <c r="C94" i="2"/>
  <c r="C34" i="2"/>
  <c r="C45" i="2" s="1"/>
  <c r="D94" i="2"/>
  <c r="K154" i="2"/>
  <c r="AG154" i="2"/>
  <c r="T214" i="2"/>
  <c r="K214" i="2"/>
  <c r="Y94" i="2"/>
  <c r="Z94" i="2"/>
  <c r="AA214" i="2"/>
  <c r="AB94" i="2"/>
  <c r="N154" i="2"/>
  <c r="N165" i="2" s="1"/>
  <c r="AH94" i="2"/>
  <c r="L94" i="2"/>
  <c r="AG214" i="2"/>
  <c r="AF94" i="2"/>
  <c r="J94" i="2"/>
  <c r="AE214" i="2"/>
  <c r="S94" i="2"/>
  <c r="H94" i="2"/>
  <c r="AD94" i="2"/>
  <c r="E214" i="2"/>
  <c r="P214" i="2"/>
  <c r="Q94" i="2"/>
  <c r="F94" i="2"/>
  <c r="W94" i="2"/>
  <c r="V154" i="2"/>
  <c r="V214" i="2"/>
  <c r="U94" i="2"/>
  <c r="R22" i="2"/>
  <c r="I30" i="2"/>
  <c r="G26" i="2"/>
  <c r="AG28" i="2"/>
  <c r="AG34" i="2" s="1"/>
  <c r="AC22" i="2"/>
  <c r="AE88" i="2"/>
  <c r="AC82" i="2"/>
  <c r="R82" i="2"/>
  <c r="P76" i="2"/>
  <c r="I90" i="2"/>
  <c r="G86" i="2"/>
  <c r="AC202" i="2"/>
  <c r="AC214" i="2" s="1"/>
  <c r="I150" i="2"/>
  <c r="I154" i="2" s="1"/>
  <c r="T28" i="2"/>
  <c r="P16" i="2"/>
  <c r="P34" i="2" s="1"/>
  <c r="G24" i="2"/>
  <c r="E18" i="2"/>
  <c r="E34" i="2" s="1"/>
  <c r="AA18" i="2"/>
  <c r="AA34" i="2" s="1"/>
  <c r="T88" i="2"/>
  <c r="T94" i="2" s="1"/>
  <c r="G84" i="2"/>
  <c r="E78" i="2"/>
  <c r="E94" i="2" s="1"/>
  <c r="G142" i="2"/>
  <c r="G154" i="2" s="1"/>
  <c r="I28" i="2"/>
  <c r="G22" i="2"/>
  <c r="AE30" i="2"/>
  <c r="AE34" i="2" s="1"/>
  <c r="AG90" i="2"/>
  <c r="AG94" i="2" s="1"/>
  <c r="AE80" i="2"/>
  <c r="I88" i="2"/>
  <c r="G82" i="2"/>
  <c r="AC142" i="2"/>
  <c r="AC154" i="2" s="1"/>
  <c r="V30" i="2"/>
  <c r="K30" i="2"/>
  <c r="I20" i="2"/>
  <c r="AC24" i="2"/>
  <c r="V90" i="2"/>
  <c r="K90" i="2"/>
  <c r="K94" i="2" s="1"/>
  <c r="I80" i="2"/>
  <c r="AE150" i="2"/>
  <c r="AE154" i="2" s="1"/>
  <c r="R202" i="2"/>
  <c r="R214" i="2" s="1"/>
  <c r="I210" i="2"/>
  <c r="G214" i="2"/>
  <c r="V28" i="2"/>
  <c r="R30" i="2"/>
  <c r="K28" i="2"/>
  <c r="H14" i="4"/>
  <c r="AC90" i="2"/>
  <c r="AA78" i="2"/>
  <c r="AA94" i="2" s="1"/>
  <c r="V88" i="2"/>
  <c r="R90" i="2"/>
  <c r="T150" i="2"/>
  <c r="T154" i="2" s="1"/>
  <c r="R26" i="2"/>
  <c r="AC30" i="2"/>
  <c r="H16" i="4"/>
  <c r="AE90" i="2"/>
  <c r="AC86" i="2"/>
  <c r="R86" i="2"/>
  <c r="P78" i="2"/>
  <c r="R142" i="2"/>
  <c r="R154" i="2" s="1"/>
  <c r="T30" i="2"/>
  <c r="R24" i="2"/>
  <c r="G30" i="2"/>
  <c r="AC84" i="2"/>
  <c r="I214" i="2" l="1"/>
  <c r="C226" i="2" s="1"/>
  <c r="C231" i="2" s="1"/>
  <c r="C225" i="2"/>
  <c r="C165" i="2"/>
  <c r="Y105" i="2"/>
  <c r="C105" i="2"/>
  <c r="V34" i="2"/>
  <c r="N105" i="2"/>
  <c r="Y109" i="2"/>
  <c r="L120" i="2"/>
  <c r="Y107" i="2"/>
  <c r="C107" i="2"/>
  <c r="Y226" i="2"/>
  <c r="Y231" i="2" s="1"/>
  <c r="N228" i="2"/>
  <c r="Y228" i="2"/>
  <c r="C109" i="2"/>
  <c r="AE94" i="2"/>
  <c r="I34" i="2"/>
  <c r="C168" i="2"/>
  <c r="C166" i="2"/>
  <c r="C171" i="2" s="1"/>
  <c r="Y166" i="2"/>
  <c r="Y171" i="2" s="1"/>
  <c r="N107" i="2"/>
  <c r="N109" i="2"/>
  <c r="N168" i="2"/>
  <c r="N166" i="2"/>
  <c r="N171" i="2" s="1"/>
  <c r="V94" i="2"/>
  <c r="P94" i="2"/>
  <c r="R34" i="2"/>
  <c r="G34" i="2"/>
  <c r="R94" i="2"/>
  <c r="AC94" i="2"/>
  <c r="Y168" i="2"/>
  <c r="N226" i="2"/>
  <c r="N231" i="2" s="1"/>
  <c r="H18" i="4"/>
  <c r="I94" i="2"/>
  <c r="T34" i="2"/>
  <c r="K34" i="2"/>
  <c r="G94" i="2"/>
  <c r="AC34" i="2"/>
  <c r="Y48" i="2" s="1"/>
  <c r="C228" i="2" l="1"/>
  <c r="N234" i="2"/>
  <c r="Y106" i="2"/>
  <c r="Y111" i="2" s="1"/>
  <c r="Y234" i="2"/>
  <c r="C46" i="2"/>
  <c r="C51" i="2" s="1"/>
  <c r="C222" i="2"/>
  <c r="C174" i="2"/>
  <c r="V178" i="2"/>
  <c r="L178" i="2" s="1"/>
  <c r="Y174" i="2"/>
  <c r="C108" i="2"/>
  <c r="C48" i="2"/>
  <c r="C106" i="2"/>
  <c r="C112" i="2" s="1"/>
  <c r="C115" i="2" s="1"/>
  <c r="N46" i="2"/>
  <c r="N51" i="2" s="1"/>
  <c r="N48" i="2"/>
  <c r="Y46" i="2"/>
  <c r="Y51" i="2" s="1"/>
  <c r="Y54" i="2" s="1"/>
  <c r="N106" i="2"/>
  <c r="N108" i="2"/>
  <c r="Y108" i="2"/>
  <c r="N174" i="2"/>
  <c r="V238" i="2"/>
  <c r="L238" i="2" s="1"/>
  <c r="C234" i="2"/>
  <c r="Y112" i="2" l="1"/>
  <c r="Y115" i="2" s="1"/>
  <c r="V241" i="2"/>
  <c r="L239" i="2" s="1"/>
  <c r="C54" i="2"/>
  <c r="V181" i="2"/>
  <c r="L179" i="2" s="1"/>
  <c r="F181" i="2" s="1"/>
  <c r="D181" i="2" s="1"/>
  <c r="C111" i="2"/>
  <c r="C114" i="2" s="1"/>
  <c r="Y114" i="2"/>
  <c r="N54" i="2"/>
  <c r="V58" i="2"/>
  <c r="N111" i="2"/>
  <c r="N112" i="2"/>
  <c r="C223" i="2"/>
  <c r="L241" i="2" s="1"/>
  <c r="F239" i="2" l="1"/>
  <c r="D239" i="2" s="1"/>
  <c r="F178" i="2"/>
  <c r="D178" i="2" s="1"/>
  <c r="V118" i="2"/>
  <c r="L118" i="2" s="1"/>
  <c r="V61" i="2"/>
  <c r="F183" i="2"/>
  <c r="D183" i="2" s="1"/>
  <c r="F179" i="2"/>
  <c r="D179" i="2" s="1"/>
  <c r="F180" i="2"/>
  <c r="D180" i="2" s="1"/>
  <c r="F182" i="2"/>
  <c r="D182" i="2" s="1"/>
  <c r="N114" i="2"/>
  <c r="N115" i="2"/>
  <c r="V122" i="2" s="1"/>
  <c r="V119" i="2"/>
  <c r="F238" i="2"/>
  <c r="D238" i="2" s="1"/>
  <c r="F242" i="2"/>
  <c r="D242" i="2" s="1"/>
  <c r="F240" i="2"/>
  <c r="D240" i="2" s="1"/>
  <c r="F241" i="2"/>
  <c r="D241" i="2" s="1"/>
  <c r="F243" i="2"/>
  <c r="D243" i="2" s="1"/>
  <c r="G48" i="1" l="1"/>
  <c r="G54" i="1" s="1"/>
  <c r="I48" i="1"/>
  <c r="I54" i="1" s="1"/>
  <c r="V121" i="2"/>
  <c r="L119" i="2" s="1"/>
  <c r="F119" i="2" s="1"/>
  <c r="D119" i="2" s="1"/>
  <c r="F120" i="2" l="1"/>
  <c r="D120" i="2" s="1"/>
  <c r="F118" i="2"/>
  <c r="D118" i="2" s="1"/>
  <c r="F121" i="2"/>
  <c r="D121" i="2" s="1"/>
  <c r="F122" i="2"/>
  <c r="D122" i="2" s="1"/>
  <c r="F123" i="2"/>
  <c r="D123" i="2" s="1"/>
  <c r="J48" i="1" l="1"/>
  <c r="J5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Elena Chen</author>
  </authors>
  <commentList>
    <comment ref="E6" authorId="0" shapeId="0" xr:uid="{81E06481-59D4-45A2-B0D4-90193CBB2717}">
      <text>
        <r>
          <rPr>
            <b/>
            <sz val="9"/>
            <color indexed="81"/>
            <rFont val="Tahoma"/>
            <family val="2"/>
          </rPr>
          <t>Elena Chen:</t>
        </r>
        <r>
          <rPr>
            <sz val="9"/>
            <color indexed="81"/>
            <rFont val="Tahoma"/>
            <family val="2"/>
          </rPr>
          <t xml:space="preserve">
Inpatient Maternity</t>
        </r>
      </text>
    </comment>
    <comment ref="F6" authorId="0" shapeId="0" xr:uid="{84F695AA-749B-47AC-B6BA-D648B3D2C39F}">
      <text>
        <r>
          <rPr>
            <b/>
            <sz val="9"/>
            <color indexed="81"/>
            <rFont val="Tahoma"/>
            <family val="2"/>
          </rPr>
          <t>Elena Chen:</t>
        </r>
        <r>
          <rPr>
            <sz val="9"/>
            <color indexed="81"/>
            <rFont val="Tahoma"/>
            <family val="2"/>
          </rPr>
          <t xml:space="preserve">
Surgery - Deliveries</t>
        </r>
      </text>
    </comment>
    <comment ref="C14" authorId="0" shapeId="0" xr:uid="{D0C65846-F29B-4F3C-A1B3-06F6AD4E4F42}">
      <text>
        <r>
          <rPr>
            <b/>
            <sz val="9"/>
            <color indexed="81"/>
            <rFont val="Tahoma"/>
            <family val="2"/>
          </rPr>
          <t>Elena Chen:</t>
        </r>
        <r>
          <rPr>
            <sz val="9"/>
            <color indexed="81"/>
            <rFont val="Tahoma"/>
            <family val="2"/>
          </rPr>
          <t xml:space="preserve">
PCP Office Visits</t>
        </r>
      </text>
    </comment>
    <comment ref="C16" authorId="0" shapeId="0" xr:uid="{0BE477ED-F7AC-426D-B8C4-B0296509C574}">
      <text>
        <r>
          <rPr>
            <b/>
            <sz val="9"/>
            <color indexed="81"/>
            <rFont val="Tahoma"/>
            <family val="2"/>
          </rPr>
          <t>Elena Chen:</t>
        </r>
        <r>
          <rPr>
            <sz val="9"/>
            <color indexed="81"/>
            <rFont val="Tahoma"/>
            <family val="2"/>
          </rPr>
          <t xml:space="preserve">
Specialist Office Visits</t>
        </r>
      </text>
    </comment>
    <comment ref="E18" authorId="0" shapeId="0" xr:uid="{E25A02E0-C22B-44E8-B968-A9581ABFE2D6}">
      <text>
        <r>
          <rPr>
            <b/>
            <sz val="9"/>
            <color indexed="81"/>
            <rFont val="Tahoma"/>
            <family val="2"/>
          </rPr>
          <t>Elena Chen:</t>
        </r>
        <r>
          <rPr>
            <sz val="9"/>
            <color indexed="81"/>
            <rFont val="Tahoma"/>
            <family val="2"/>
          </rPr>
          <t xml:space="preserve">
Emergency Room</t>
        </r>
      </text>
    </comment>
    <comment ref="D20" authorId="0" shapeId="0" xr:uid="{047A0D70-9130-4111-BCAD-5975C97EAC80}">
      <text>
        <r>
          <rPr>
            <b/>
            <sz val="9"/>
            <color indexed="81"/>
            <rFont val="Tahoma"/>
            <family val="2"/>
          </rPr>
          <t>Elena Chen:</t>
        </r>
        <r>
          <rPr>
            <sz val="9"/>
            <color indexed="81"/>
            <rFont val="Tahoma"/>
            <family val="2"/>
          </rPr>
          <t xml:space="preserve">
Specialist Lab/Path</t>
        </r>
      </text>
    </comment>
    <comment ref="D22" authorId="0" shapeId="0" xr:uid="{9A64F88A-4BF1-4BC7-9D61-42F00F729F2F}">
      <text>
        <r>
          <rPr>
            <b/>
            <sz val="9"/>
            <color indexed="81"/>
            <rFont val="Tahoma"/>
            <family val="2"/>
          </rPr>
          <t>Elena Chen:</t>
        </r>
        <r>
          <rPr>
            <sz val="9"/>
            <color indexed="81"/>
            <rFont val="Tahoma"/>
            <family val="2"/>
          </rPr>
          <t xml:space="preserve">
Other OP Radiology</t>
        </r>
      </text>
    </comment>
    <comment ref="D24" authorId="0" shapeId="0" xr:uid="{0480DDFB-052E-40AB-A296-712B0D5B27B8}">
      <text>
        <r>
          <rPr>
            <b/>
            <sz val="9"/>
            <color indexed="81"/>
            <rFont val="Tahoma"/>
            <family val="2"/>
          </rPr>
          <t>Elena Chen:</t>
        </r>
        <r>
          <rPr>
            <sz val="9"/>
            <color indexed="81"/>
            <rFont val="Tahoma"/>
            <family val="2"/>
          </rPr>
          <t xml:space="preserve">
CT/PET Scans</t>
        </r>
      </text>
    </comment>
    <comment ref="E26" authorId="0" shapeId="0" xr:uid="{6D6858E6-C104-4716-A722-AA41B91F03C0}">
      <text>
        <r>
          <rPr>
            <b/>
            <sz val="9"/>
            <color indexed="81"/>
            <rFont val="Tahoma"/>
            <family val="2"/>
          </rPr>
          <t>Elena Chen:</t>
        </r>
        <r>
          <rPr>
            <sz val="9"/>
            <color indexed="81"/>
            <rFont val="Tahoma"/>
            <family val="2"/>
          </rPr>
          <t xml:space="preserve">
Outpatient Surgery</t>
        </r>
      </text>
    </comment>
    <comment ref="F26" authorId="0" shapeId="0" xr:uid="{3B5BDDAA-AB23-4D80-8040-6FE91E897ADF}">
      <text>
        <r>
          <rPr>
            <b/>
            <sz val="9"/>
            <color indexed="81"/>
            <rFont val="Tahoma"/>
            <family val="2"/>
          </rPr>
          <t>Elena Chen:</t>
        </r>
        <r>
          <rPr>
            <sz val="9"/>
            <color indexed="81"/>
            <rFont val="Tahoma"/>
            <family val="2"/>
          </rPr>
          <t xml:space="preserve">
Outpatient Surgery</t>
        </r>
      </text>
    </comment>
    <comment ref="D28" authorId="0" shapeId="0" xr:uid="{316223AC-D1FA-4B04-B808-FF8B487EF3E0}">
      <text>
        <r>
          <rPr>
            <b/>
            <sz val="9"/>
            <color indexed="81"/>
            <rFont val="Tahoma"/>
            <family val="2"/>
          </rPr>
          <t>Elena Chen:</t>
        </r>
        <r>
          <rPr>
            <sz val="9"/>
            <color indexed="81"/>
            <rFont val="Tahoma"/>
            <family val="2"/>
          </rPr>
          <t xml:space="preserve">
MRI</t>
        </r>
      </text>
    </comment>
    <comment ref="E28" authorId="0" shapeId="0" xr:uid="{1BFD0E82-34E1-4DB7-BDEF-50A5765B4E2E}">
      <text>
        <r>
          <rPr>
            <b/>
            <sz val="9"/>
            <color indexed="81"/>
            <rFont val="Tahoma"/>
            <family val="2"/>
          </rPr>
          <t>Elena Chen:</t>
        </r>
        <r>
          <rPr>
            <sz val="9"/>
            <color indexed="81"/>
            <rFont val="Tahoma"/>
            <family val="2"/>
          </rPr>
          <t xml:space="preserve">
Inpatient Acute</t>
        </r>
      </text>
    </comment>
    <comment ref="F28" authorId="0" shapeId="0" xr:uid="{A748038A-4164-4D6A-B954-264A1A387303}">
      <text>
        <r>
          <rPr>
            <b/>
            <sz val="9"/>
            <color indexed="81"/>
            <rFont val="Tahoma"/>
            <family val="2"/>
          </rPr>
          <t>Elena Chen:</t>
        </r>
        <r>
          <rPr>
            <sz val="9"/>
            <color indexed="81"/>
            <rFont val="Tahoma"/>
            <family val="2"/>
          </rPr>
          <t xml:space="preserve">
Specialist Inpatient Visits 
updated - as of 9/29/2026</t>
        </r>
      </text>
    </comment>
    <comment ref="C31" authorId="0" shapeId="0" xr:uid="{63331F8C-8D49-4F17-AF7D-2A7CF51520A4}">
      <text>
        <r>
          <rPr>
            <b/>
            <sz val="9"/>
            <color indexed="81"/>
            <rFont val="Tahoma"/>
            <family val="2"/>
          </rPr>
          <t>Elena Chen:</t>
        </r>
        <r>
          <rPr>
            <sz val="9"/>
            <color indexed="81"/>
            <rFont val="Tahoma"/>
            <family val="2"/>
          </rPr>
          <t xml:space="preserve">
Retail Generic - per script</t>
        </r>
      </text>
    </comment>
    <comment ref="C32" authorId="0" shapeId="0" xr:uid="{F612B3EB-2A3E-44D0-853B-308799ADC563}">
      <text>
        <r>
          <rPr>
            <b/>
            <sz val="9"/>
            <color indexed="81"/>
            <rFont val="Tahoma"/>
            <family val="2"/>
          </rPr>
          <t>Elena Chen:</t>
        </r>
        <r>
          <rPr>
            <sz val="9"/>
            <color indexed="81"/>
            <rFont val="Tahoma"/>
            <family val="2"/>
          </rPr>
          <t xml:space="preserve">
Retail Brand Formulary - per script</t>
        </r>
      </text>
    </comment>
    <comment ref="C33" authorId="0" shapeId="0" xr:uid="{55108A61-BE0C-4E1D-8050-B851185B6CEE}">
      <text>
        <r>
          <rPr>
            <b/>
            <sz val="9"/>
            <color indexed="81"/>
            <rFont val="Tahoma"/>
            <family val="2"/>
          </rPr>
          <t>Elena Chen:</t>
        </r>
        <r>
          <rPr>
            <sz val="9"/>
            <color indexed="81"/>
            <rFont val="Tahoma"/>
            <family val="2"/>
          </rPr>
          <t xml:space="preserve">
Retail Non-Formulary - per script</t>
        </r>
      </text>
    </comment>
  </commentList>
</comments>
</file>

<file path=xl/sharedStrings.xml><?xml version="1.0" encoding="utf-8"?>
<sst xmlns="http://schemas.openxmlformats.org/spreadsheetml/2006/main" count="598" uniqueCount="146">
  <si>
    <t xml:space="preserve">1) COVERAGE LEVEL </t>
  </si>
  <si>
    <t>Employee Only</t>
  </si>
  <si>
    <t>Network</t>
  </si>
  <si>
    <t>Employee</t>
  </si>
  <si>
    <t>Spouse</t>
  </si>
  <si>
    <t>a) Place an 'X' in the box to the right if you or your COVERED spouse will have a baby in the upcoming contract year</t>
  </si>
  <si>
    <t>PLUS ONLY Out-of-Network</t>
  </si>
  <si>
    <t>Child(ren)</t>
  </si>
  <si>
    <t>In-Network</t>
  </si>
  <si>
    <t>.</t>
  </si>
  <si>
    <t># of Prescriptions</t>
  </si>
  <si>
    <t>a) Generic</t>
  </si>
  <si>
    <t>b) Preferred Brand</t>
  </si>
  <si>
    <t>c) Non-Preferred Brand</t>
  </si>
  <si>
    <t>a) Benefit Cost Sharing</t>
  </si>
  <si>
    <t>TOTAL EMPLOYEE OUT OF POCKET (premium share + benefit cost share)</t>
  </si>
  <si>
    <t>YOUR PROJECTED ANNUAL COST =</t>
  </si>
  <si>
    <t>Assumed Out of Network Cost Load:</t>
  </si>
  <si>
    <t>Copay</t>
  </si>
  <si>
    <t>Office</t>
  </si>
  <si>
    <t>Outpatient/
 Xray&amp;Lab</t>
  </si>
  <si>
    <t>Facility</t>
  </si>
  <si>
    <t>Physician</t>
  </si>
  <si>
    <t>NETWORK</t>
  </si>
  <si>
    <t>IN</t>
  </si>
  <si>
    <t>OUT</t>
  </si>
  <si>
    <t>Maternity</t>
  </si>
  <si>
    <t># of Annual Physicals</t>
  </si>
  <si>
    <t># of Primary Care Visits</t>
  </si>
  <si>
    <t># of Specialist Visits</t>
  </si>
  <si>
    <t># of Emergency Room Visits</t>
  </si>
  <si>
    <t xml:space="preserve"># of Lab Tests </t>
  </si>
  <si>
    <t># of X-rays</t>
  </si>
  <si>
    <t># of CAT scans/MRIs/Etc.</t>
  </si>
  <si>
    <t># of Outpatient Surgeries</t>
  </si>
  <si>
    <t># of Inpatient Hospital Admissions</t>
  </si>
  <si>
    <t>Rx Cost</t>
  </si>
  <si>
    <t>TOTAL Rx Copays</t>
  </si>
  <si>
    <t>Non Rx Copays</t>
  </si>
  <si>
    <t>Grand Total Deductible - In-Network</t>
  </si>
  <si>
    <t>Grand Total Coinsurance - In-Network</t>
  </si>
  <si>
    <t>Deductible OOP - In-Network</t>
  </si>
  <si>
    <t>Coinsurance OOP - In-Network</t>
  </si>
  <si>
    <t>Family Deduct OOP - In-Network</t>
  </si>
  <si>
    <t>Familiy Coinsurance OOP - In-Network</t>
  </si>
  <si>
    <t>Grand Total Deductible - Out-of-Network</t>
  </si>
  <si>
    <t>Grand Total Coinsurance - Out-of-Network</t>
  </si>
  <si>
    <t>Deductible OOP - Out-of-Network</t>
  </si>
  <si>
    <t>Coinsurance OOP - Out-of-Network</t>
  </si>
  <si>
    <t>Family Deduct OOP - Out-of-Network</t>
  </si>
  <si>
    <t>Familiy Coinsurance OOP - Out-of-Network</t>
  </si>
  <si>
    <t>PLAN DEFINITION</t>
  </si>
  <si>
    <t>Carrier</t>
  </si>
  <si>
    <t>Plan Name</t>
  </si>
  <si>
    <t>In Network</t>
  </si>
  <si>
    <t>Out of Network</t>
  </si>
  <si>
    <t>Deductible</t>
  </si>
  <si>
    <t>Family Max __x</t>
  </si>
  <si>
    <t>Coinsurance OOP Max</t>
  </si>
  <si>
    <t>OV # 1st $ Visits</t>
  </si>
  <si>
    <t>Wellness Ded Waived but Coins Apply</t>
  </si>
  <si>
    <t>Office Coinsurance %</t>
  </si>
  <si>
    <t>ER Copay</t>
  </si>
  <si>
    <t>IP Hospital Copay</t>
  </si>
  <si>
    <t>Maternity IP Admit Copay</t>
  </si>
  <si>
    <t>OP Surgery Copay</t>
  </si>
  <si>
    <t>Other Coinsurance %</t>
  </si>
  <si>
    <t>1st Dollar Xray Lab Benefit</t>
  </si>
  <si>
    <t>Xray/Lab Coinsurance Office</t>
  </si>
  <si>
    <t>Xray/Lab Coinsurance Facility</t>
  </si>
  <si>
    <t>Rx Deduct</t>
  </si>
  <si>
    <t>Rx Tier 1</t>
  </si>
  <si>
    <t>Rx Tier 2</t>
  </si>
  <si>
    <t>Rx Tier 3</t>
  </si>
  <si>
    <t xml:space="preserve"> = inactive</t>
  </si>
  <si>
    <t>Employee Cost Sharing</t>
  </si>
  <si>
    <t>Child</t>
  </si>
  <si>
    <t>Adjudication</t>
  </si>
  <si>
    <t>Employee + Spouse</t>
  </si>
  <si>
    <t>Employee + Spouse + Child</t>
  </si>
  <si>
    <t>Employee + Spouse + Child(ren)</t>
  </si>
  <si>
    <t>Employee + Child</t>
  </si>
  <si>
    <t>Employee + Child(ren)</t>
  </si>
  <si>
    <t>HSA</t>
  </si>
  <si>
    <t>Contribution</t>
  </si>
  <si>
    <t>Gross Costs</t>
  </si>
  <si>
    <t>Innova</t>
  </si>
  <si>
    <t>Maternity - Adult</t>
  </si>
  <si>
    <t>Maternity - Baby</t>
  </si>
  <si>
    <t>ERROR</t>
  </si>
  <si>
    <t>Actual Max</t>
  </si>
  <si>
    <t>Plan Max OOP</t>
  </si>
  <si>
    <t>Sum Copay/Ded/Coins</t>
  </si>
  <si>
    <t>INCLUDES Rx</t>
  </si>
  <si>
    <t>Family Deduct OOP</t>
  </si>
  <si>
    <t>Familiy Coinsurance OOP</t>
  </si>
  <si>
    <t>Family Other Copays</t>
  </si>
  <si>
    <t>Family RX Copays</t>
  </si>
  <si>
    <t>Individual Max Out of Pocket</t>
  </si>
  <si>
    <t>Family Max Out of Pocket</t>
  </si>
  <si>
    <t>Access PPO</t>
  </si>
  <si>
    <t>b) Annual Payroll Deductions</t>
  </si>
  <si>
    <t>FSA</t>
  </si>
  <si>
    <t>n/a</t>
  </si>
  <si>
    <t>Generic Rx</t>
  </si>
  <si>
    <t>Preferred Brand Rx</t>
  </si>
  <si>
    <t>Non-Preferred Brand Rx</t>
  </si>
  <si>
    <t>Average Cost of Rx</t>
  </si>
  <si>
    <t>TOTAL Rx Costs</t>
  </si>
  <si>
    <t>EE Only Rx</t>
  </si>
  <si>
    <t>Family Rx</t>
  </si>
  <si>
    <t>Benefit Adjudication Multiplier:</t>
  </si>
  <si>
    <t>Choose the Coverage Tier from the Drop Down Menu</t>
  </si>
  <si>
    <t>b) Number of Annual Physicals</t>
  </si>
  <si>
    <t>c) Number of Primary Care Visits</t>
  </si>
  <si>
    <t>d) Number of Specialist Visits</t>
  </si>
  <si>
    <t>e) Number of Emergency Room Visits</t>
  </si>
  <si>
    <t xml:space="preserve">f) Number of Lab Tests </t>
  </si>
  <si>
    <t>g) Number of X-rays</t>
  </si>
  <si>
    <t>h) Number of CAT scans/MRIs, etc.</t>
  </si>
  <si>
    <t>i) Number of Outpatient Surgeries</t>
  </si>
  <si>
    <t xml:space="preserve">Pacific Lutheran University    </t>
  </si>
  <si>
    <t>Benefit Cost Sharing + Annual Employee Premium Contribution - Employer HSA Contribution (if any)</t>
  </si>
  <si>
    <t>Total number of fills</t>
  </si>
  <si>
    <t>Input the total combined expected prescriptions by type that you and your covered family members will have over the next 12 months:</t>
  </si>
  <si>
    <t>2) Projected MEDICAL Utilization</t>
  </si>
  <si>
    <t>3) Projected PRESCRIPTION Utilization</t>
  </si>
  <si>
    <t>4) Projected Out of Pocket Costs</t>
  </si>
  <si>
    <t xml:space="preserve">Kaiser </t>
  </si>
  <si>
    <t>HSA HMO</t>
  </si>
  <si>
    <t xml:space="preserve">This cost modeling tool is for a quick comparison only. It produces a projection for your annual out of pocket costs based on the coverage level and plan you select. For this comparison tool, out of pocket costs are defined as a combination of your payroll contribution toward premiums as well as your deductibles, copays, etc. throughout the year that are not reimbursed by insurance or your employer.
</t>
  </si>
  <si>
    <t>The calculation assumes a 30-day retail fill, so enter expected utilization based on this.  To estimate annual costs for mail-order prescriptions, enter 8 for each one for the year. This equates to 4 - 90 day fills for the year at twice the retail copay.</t>
  </si>
  <si>
    <r>
      <t xml:space="preserve">ABOVE PLAN COMPARISON ASSUMES THERE IS NO ADDITIONAL COVERAGE (e.g. - coverage through Medicare or a spouse)
</t>
    </r>
    <r>
      <rPr>
        <b/>
        <sz val="14"/>
        <color rgb="FFFF0000"/>
        <rFont val="Arial"/>
        <family val="2"/>
      </rPr>
      <t>THE AB</t>
    </r>
    <r>
      <rPr>
        <b/>
        <sz val="14"/>
        <color indexed="10"/>
        <rFont val="Arial"/>
        <family val="2"/>
      </rPr>
      <t>OVE ANALYSIS IS FOR ILLUSTRATIVE PURPOSES ONLY.  ACTUAL COSTS WILL VARY.</t>
    </r>
  </si>
  <si>
    <t>j) Number of Inpatient Hospital Admissions (excluding maternity w/delivery)</t>
  </si>
  <si>
    <t>NOT INCLUDING MATERNITY RELATED VISITS, input the total combined expected visits that you and your family will have over the next 12 months and also CHOOSE WHETHER THE VISITS WILL BE IN-NETWORK or OUT-OF-NETWORK</t>
  </si>
  <si>
    <t>The tool is not designed for exact budgeting, but it will provide a baseline of how the cost and benefits of each option compare. If you have more specific questions, please email askaonseattle@aon.com.</t>
  </si>
  <si>
    <t>c) Less Employer HSA Contribution</t>
  </si>
  <si>
    <t>Items in Blue from AV Model</t>
  </si>
  <si>
    <t>Virtual Plus Plan</t>
  </si>
  <si>
    <t>PCP</t>
  </si>
  <si>
    <t>Specialist</t>
  </si>
  <si>
    <t>Access PPO cost sharing assumes the member sees an enhanced provider and receives the 5% coinsurance benefit. A non-enhanced provider is 10% coinsurance.</t>
  </si>
  <si>
    <t>Kaiser</t>
  </si>
  <si>
    <t>PLU Medical Plan Cost Comparison Estimator: 2027 Plan Year</t>
  </si>
  <si>
    <t>2027 Monthly Employee Contributions</t>
  </si>
  <si>
    <t>Data Source:\\aonnet.aon.net\nafs\FieldData\SEAACW\VOL1\USERS\HWCLIENT\HWLarge\Pacific Lutheran University\2023 Forward\Financial\AV Model\2027\PLU 2027 Plan Design AVMod2026.2.xlsb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</si>
</sst>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s>
  <fonts count="44" x14ac:knownFonts="1">
    <font>
      <sz val="10"/>
      <name val="Arial"/>
    </font>
    <font>
      <sz val="10"/>
      <name val="Arial"/>
      <family val="2"/>
    </font>
    <font>
      <sz val="8"/>
      <name val="Arial"/>
      <family val="2"/>
    </font>
    <font>
      <b/>
      <sz val="22"/>
      <name val="Arial"/>
      <family val="2"/>
    </font>
    <font>
      <sz val="11"/>
      <name val="Arial"/>
      <family val="2"/>
    </font>
    <font>
      <b/>
      <sz val="20"/>
      <color indexed="10"/>
      <name val="Arial"/>
      <family val="2"/>
    </font>
    <font>
      <b/>
      <sz val="18"/>
      <name val="Arial"/>
      <family val="2"/>
    </font>
    <font>
      <b/>
      <sz val="12"/>
      <name val="Arial"/>
      <family val="2"/>
    </font>
    <font>
      <sz val="12"/>
      <name val="Arial"/>
      <family val="2"/>
    </font>
    <font>
      <b/>
      <sz val="12"/>
      <color indexed="51"/>
      <name val="Arial"/>
      <family val="2"/>
    </font>
    <font>
      <sz val="12"/>
      <color indexed="51"/>
      <name val="Arial"/>
      <family val="2"/>
    </font>
    <font>
      <sz val="11"/>
      <name val="Arial"/>
      <family val="2"/>
    </font>
    <font>
      <b/>
      <sz val="11"/>
      <name val="Arial"/>
      <family val="2"/>
    </font>
    <font>
      <b/>
      <sz val="10"/>
      <name val="Arial"/>
      <family val="2"/>
    </font>
    <font>
      <b/>
      <sz val="11"/>
      <color indexed="10"/>
      <name val="Arial"/>
      <family val="2"/>
    </font>
    <font>
      <sz val="11"/>
      <color indexed="51"/>
      <name val="Arial"/>
      <family val="2"/>
    </font>
    <font>
      <sz val="9"/>
      <name val="Arial"/>
      <family val="2"/>
    </font>
    <font>
      <b/>
      <sz val="16"/>
      <name val="Arial"/>
      <family val="2"/>
    </font>
    <font>
      <b/>
      <sz val="11"/>
      <color indexed="12"/>
      <name val="Arial"/>
      <family val="2"/>
    </font>
    <font>
      <sz val="60"/>
      <name val="Arial"/>
      <family val="2"/>
    </font>
    <font>
      <sz val="72"/>
      <name val="Arial"/>
      <family val="2"/>
    </font>
    <font>
      <b/>
      <sz val="20"/>
      <name val="Arial"/>
      <family val="2"/>
    </font>
    <font>
      <sz val="12"/>
      <name val="Arial"/>
      <family val="2"/>
    </font>
    <font>
      <b/>
      <sz val="14"/>
      <name val="Arial"/>
      <family val="2"/>
    </font>
    <font>
      <b/>
      <sz val="14"/>
      <color indexed="10"/>
      <name val="Arial"/>
      <family val="2"/>
    </font>
    <font>
      <sz val="11"/>
      <color theme="0"/>
      <name val="Arial"/>
      <family val="2"/>
    </font>
    <font>
      <b/>
      <sz val="11"/>
      <color rgb="FFFF0000"/>
      <name val="Arial"/>
      <family val="2"/>
    </font>
    <font>
      <sz val="10"/>
      <name val="Arial"/>
      <family val="2"/>
    </font>
    <font>
      <b/>
      <sz val="16"/>
      <color rgb="FFCC9900"/>
      <name val="Arial"/>
      <family val="2"/>
    </font>
    <font>
      <b/>
      <sz val="12"/>
      <color rgb="FFCC9900"/>
      <name val="Arial"/>
      <family val="2"/>
    </font>
    <font>
      <b/>
      <sz val="18"/>
      <color rgb="FFCC9900"/>
      <name val="Arial"/>
      <family val="2"/>
    </font>
    <font>
      <sz val="11"/>
      <color rgb="FFCC9900"/>
      <name val="Arial"/>
      <family val="2"/>
    </font>
    <font>
      <b/>
      <sz val="11"/>
      <color rgb="FFCC9900"/>
      <name val="Arial"/>
      <family val="2"/>
    </font>
    <font>
      <sz val="36"/>
      <name val="Arial"/>
      <family val="2"/>
    </font>
    <font>
      <b/>
      <sz val="48"/>
      <name val="Arial"/>
      <family val="2"/>
    </font>
    <font>
      <i/>
      <sz val="10"/>
      <name val="Arial"/>
      <family val="2"/>
    </font>
    <font>
      <b/>
      <sz val="14"/>
      <color rgb="FFFF0000"/>
      <name val="Arial"/>
      <family val="2"/>
    </font>
    <font>
      <sz val="11"/>
      <color rgb="FF0000FF"/>
      <name val="Arial"/>
      <family val="2"/>
    </font>
    <font>
      <sz val="12"/>
      <color rgb="FF0000FF"/>
      <name val="Arial"/>
      <family val="2"/>
    </font>
    <font>
      <b/>
      <sz val="12"/>
      <color rgb="FFFF0000"/>
      <name val="Arial"/>
      <family val="2"/>
    </font>
    <font>
      <b/>
      <sz val="10"/>
      <color rgb="FFFF0000"/>
      <name val="Arial"/>
      <family val="2"/>
    </font>
    <font>
      <sz val="10"/>
      <color rgb="FF0000FF"/>
      <name val="Arial"/>
      <family val="2"/>
    </font>
    <font>
      <sz val="9"/>
      <color indexed="81"/>
      <name val="Tahoma"/>
      <family val="2"/>
    </font>
    <font>
      <b/>
      <sz val="9"/>
      <color indexed="81"/>
      <name val="Tahoma"/>
      <family val="2"/>
    </font>
  </fonts>
  <fills count="13">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8"/>
        <bgColor indexed="64"/>
      </patternFill>
    </fill>
    <fill>
      <patternFill patternType="solid">
        <fgColor indexed="43"/>
        <bgColor indexed="64"/>
      </patternFill>
    </fill>
    <fill>
      <patternFill patternType="solid">
        <fgColor indexed="22"/>
        <bgColor indexed="64"/>
      </patternFill>
    </fill>
    <fill>
      <patternFill patternType="solid">
        <fgColor indexed="41"/>
        <bgColor indexed="64"/>
      </patternFill>
    </fill>
    <fill>
      <patternFill patternType="solid">
        <fgColor indexed="10"/>
        <bgColor indexed="64"/>
      </patternFill>
    </fill>
    <fill>
      <patternFill patternType="solid">
        <fgColor theme="4" tint="0.59999389629810485"/>
        <bgColor indexed="64"/>
      </patternFill>
    </fill>
    <fill>
      <patternFill patternType="solid">
        <fgColor theme="1"/>
        <bgColor indexed="64"/>
      </patternFill>
    </fill>
    <fill>
      <patternFill patternType="solid">
        <fgColor rgb="FFCC9900"/>
        <bgColor indexed="64"/>
      </patternFill>
    </fill>
    <fill>
      <patternFill patternType="solid">
        <fgColor theme="0"/>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27" fillId="0" borderId="0" applyFont="0" applyFill="0" applyBorder="0" applyAlignment="0" applyProtection="0"/>
  </cellStyleXfs>
  <cellXfs count="227">
    <xf numFmtId="0" fontId="0" fillId="0" borderId="0" xfId="0"/>
    <xf numFmtId="0" fontId="0" fillId="0" borderId="0" xfId="0" applyAlignment="1">
      <alignment horizontal="center"/>
    </xf>
    <xf numFmtId="0" fontId="4" fillId="0" borderId="0" xfId="0" applyFont="1"/>
    <xf numFmtId="0" fontId="5" fillId="0" borderId="0" xfId="0" applyFont="1"/>
    <xf numFmtId="0" fontId="6" fillId="0" borderId="0" xfId="0" applyFont="1"/>
    <xf numFmtId="0" fontId="6" fillId="0" borderId="0" xfId="0" applyFont="1" applyAlignment="1">
      <alignment horizontal="left"/>
    </xf>
    <xf numFmtId="0" fontId="0" fillId="0" borderId="1" xfId="0" applyBorder="1"/>
    <xf numFmtId="0" fontId="0" fillId="0" borderId="2" xfId="0" applyBorder="1"/>
    <xf numFmtId="0" fontId="0" fillId="0" borderId="3" xfId="0" applyBorder="1"/>
    <xf numFmtId="0" fontId="6" fillId="0" borderId="4" xfId="0" applyFont="1" applyBorder="1"/>
    <xf numFmtId="0" fontId="8" fillId="0" borderId="0" xfId="0" applyFont="1"/>
    <xf numFmtId="0" fontId="9" fillId="0" borderId="0" xfId="0" applyFont="1" applyAlignment="1">
      <alignment horizontal="center"/>
    </xf>
    <xf numFmtId="0" fontId="7" fillId="0" borderId="0" xfId="0" applyFont="1"/>
    <xf numFmtId="0" fontId="7" fillId="0" borderId="0" xfId="0" applyFont="1" applyAlignment="1">
      <alignment horizontal="center"/>
    </xf>
    <xf numFmtId="0" fontId="10" fillId="0" borderId="5" xfId="0" applyFont="1" applyBorder="1"/>
    <xf numFmtId="0" fontId="11" fillId="0" borderId="4" xfId="0" applyFont="1" applyBorder="1"/>
    <xf numFmtId="0" fontId="11" fillId="0" borderId="0" xfId="0" applyFont="1"/>
    <xf numFmtId="0" fontId="11" fillId="0" borderId="5" xfId="0" applyFont="1" applyBorder="1"/>
    <xf numFmtId="8" fontId="11" fillId="0" borderId="0" xfId="0" applyNumberFormat="1" applyFont="1" applyAlignment="1">
      <alignment horizontal="center"/>
    </xf>
    <xf numFmtId="0" fontId="11" fillId="0" borderId="0" xfId="0" applyFont="1" applyAlignment="1">
      <alignment horizontal="center"/>
    </xf>
    <xf numFmtId="0" fontId="8" fillId="0" borderId="0" xfId="0" applyFont="1" applyAlignment="1">
      <alignment horizontal="left" indent="1"/>
    </xf>
    <xf numFmtId="0" fontId="7" fillId="0" borderId="4" xfId="0" applyFont="1" applyBorder="1"/>
    <xf numFmtId="8" fontId="7" fillId="0" borderId="0" xfId="1" applyNumberFormat="1" applyFont="1" applyBorder="1" applyAlignment="1" applyProtection="1">
      <alignment horizontal="center"/>
    </xf>
    <xf numFmtId="8" fontId="8" fillId="0" borderId="0" xfId="0" applyNumberFormat="1" applyFont="1" applyAlignment="1">
      <alignment horizontal="center"/>
    </xf>
    <xf numFmtId="8" fontId="7" fillId="0" borderId="0" xfId="1" applyNumberFormat="1" applyFont="1" applyFill="1" applyBorder="1" applyAlignment="1" applyProtection="1">
      <alignment horizontal="center"/>
    </xf>
    <xf numFmtId="0" fontId="8" fillId="0" borderId="5" xfId="0" applyFont="1" applyBorder="1"/>
    <xf numFmtId="0" fontId="11" fillId="0" borderId="8" xfId="0" applyFont="1" applyBorder="1"/>
    <xf numFmtId="0" fontId="11" fillId="0" borderId="9" xfId="0" applyFont="1" applyBorder="1"/>
    <xf numFmtId="8" fontId="11" fillId="0" borderId="9" xfId="0" applyNumberFormat="1" applyFont="1" applyBorder="1" applyAlignment="1">
      <alignment horizontal="center"/>
    </xf>
    <xf numFmtId="0" fontId="11" fillId="0" borderId="10" xfId="0" applyFont="1" applyBorder="1"/>
    <xf numFmtId="0" fontId="7" fillId="0" borderId="5" xfId="0" applyFont="1" applyBorder="1"/>
    <xf numFmtId="0" fontId="12" fillId="0" borderId="4" xfId="0" applyFont="1" applyBorder="1"/>
    <xf numFmtId="0" fontId="12" fillId="0" borderId="0" xfId="0" applyFont="1"/>
    <xf numFmtId="0" fontId="12" fillId="0" borderId="5" xfId="0" applyFont="1" applyBorder="1"/>
    <xf numFmtId="6" fontId="8" fillId="0" borderId="0" xfId="1" applyNumberFormat="1" applyFont="1" applyFill="1" applyBorder="1" applyAlignment="1" applyProtection="1">
      <alignment horizontal="center"/>
    </xf>
    <xf numFmtId="6" fontId="11" fillId="0" borderId="0" xfId="1" applyNumberFormat="1" applyFont="1" applyFill="1" applyBorder="1" applyAlignment="1" applyProtection="1">
      <alignment horizontal="center"/>
    </xf>
    <xf numFmtId="0" fontId="11" fillId="0" borderId="11" xfId="0" applyFont="1" applyBorder="1"/>
    <xf numFmtId="0" fontId="11" fillId="0" borderId="12" xfId="0" applyFont="1" applyBorder="1"/>
    <xf numFmtId="8" fontId="11" fillId="0" borderId="12" xfId="0" applyNumberFormat="1" applyFont="1" applyBorder="1" applyAlignment="1">
      <alignment horizontal="center"/>
    </xf>
    <xf numFmtId="0" fontId="11" fillId="0" borderId="13" xfId="0" applyFont="1" applyBorder="1"/>
    <xf numFmtId="0" fontId="11" fillId="4" borderId="0" xfId="0" applyFont="1" applyFill="1"/>
    <xf numFmtId="8" fontId="11" fillId="4" borderId="0" xfId="0" applyNumberFormat="1" applyFont="1" applyFill="1" applyAlignment="1">
      <alignment horizontal="center"/>
    </xf>
    <xf numFmtId="8" fontId="11" fillId="0" borderId="0" xfId="0" applyNumberFormat="1" applyFont="1"/>
    <xf numFmtId="0" fontId="16" fillId="0" borderId="0" xfId="0" applyFont="1"/>
    <xf numFmtId="0" fontId="16" fillId="0" borderId="0" xfId="0" applyFont="1" applyAlignment="1">
      <alignment horizontal="center"/>
    </xf>
    <xf numFmtId="0" fontId="13" fillId="0" borderId="0" xfId="0" applyFont="1"/>
    <xf numFmtId="0" fontId="13" fillId="0" borderId="0" xfId="0" applyFont="1" applyAlignment="1">
      <alignment horizontal="center"/>
    </xf>
    <xf numFmtId="0" fontId="0" fillId="5" borderId="0" xfId="0" applyFill="1"/>
    <xf numFmtId="0" fontId="8" fillId="6" borderId="0" xfId="0" applyFont="1" applyFill="1"/>
    <xf numFmtId="0" fontId="8" fillId="3" borderId="0" xfId="0" applyFont="1" applyFill="1" applyAlignment="1">
      <alignment horizontal="center"/>
    </xf>
    <xf numFmtId="0" fontId="8" fillId="5" borderId="0" xfId="0" applyFont="1" applyFill="1"/>
    <xf numFmtId="0" fontId="11" fillId="6" borderId="0" xfId="0" applyFont="1" applyFill="1"/>
    <xf numFmtId="0" fontId="11" fillId="5" borderId="0" xfId="0" applyFont="1" applyFill="1"/>
    <xf numFmtId="0" fontId="11" fillId="6" borderId="0" xfId="0" applyFont="1" applyFill="1" applyAlignment="1">
      <alignment horizontal="right"/>
    </xf>
    <xf numFmtId="0" fontId="18" fillId="0" borderId="0" xfId="0" applyFont="1" applyAlignment="1">
      <alignment horizontal="center"/>
    </xf>
    <xf numFmtId="0" fontId="14" fillId="0" borderId="0" xfId="0" applyFont="1" applyAlignment="1">
      <alignment horizontal="center"/>
    </xf>
    <xf numFmtId="0" fontId="12" fillId="0" borderId="0" xfId="0" applyFont="1" applyAlignment="1">
      <alignment horizontal="center"/>
    </xf>
    <xf numFmtId="8" fontId="11" fillId="0" borderId="0" xfId="1" applyNumberFormat="1" applyFont="1" applyBorder="1" applyAlignment="1">
      <alignment horizontal="center"/>
    </xf>
    <xf numFmtId="6" fontId="8" fillId="7" borderId="0" xfId="0" applyNumberFormat="1" applyFont="1" applyFill="1" applyAlignment="1">
      <alignment horizontal="center"/>
    </xf>
    <xf numFmtId="6" fontId="8" fillId="0" borderId="0" xfId="0" applyNumberFormat="1" applyFont="1" applyAlignment="1">
      <alignment horizontal="center"/>
    </xf>
    <xf numFmtId="0" fontId="12" fillId="0" borderId="0" xfId="0" applyFont="1" applyAlignment="1">
      <alignment horizontal="left"/>
    </xf>
    <xf numFmtId="0" fontId="8" fillId="0" borderId="0" xfId="0" applyFont="1" applyAlignment="1">
      <alignment horizontal="center"/>
    </xf>
    <xf numFmtId="0" fontId="7" fillId="6" borderId="0" xfId="0" applyFont="1" applyFill="1"/>
    <xf numFmtId="0" fontId="7" fillId="5" borderId="0" xfId="0" applyFont="1" applyFill="1"/>
    <xf numFmtId="0" fontId="12" fillId="6" borderId="0" xfId="0" applyFont="1" applyFill="1"/>
    <xf numFmtId="0" fontId="12" fillId="7" borderId="0" xfId="0" applyFont="1" applyFill="1" applyAlignment="1">
      <alignment horizontal="center"/>
    </xf>
    <xf numFmtId="0" fontId="12" fillId="5" borderId="0" xfId="0" applyFont="1" applyFill="1"/>
    <xf numFmtId="0" fontId="18" fillId="0" borderId="0" xfId="0" applyFont="1" applyAlignment="1">
      <alignment horizontal="left"/>
    </xf>
    <xf numFmtId="0" fontId="14" fillId="0" borderId="0" xfId="0" applyFont="1" applyAlignment="1">
      <alignment horizontal="left"/>
    </xf>
    <xf numFmtId="0" fontId="18" fillId="0" borderId="0" xfId="0" applyFont="1"/>
    <xf numFmtId="0" fontId="14" fillId="0" borderId="0" xfId="0" applyFont="1"/>
    <xf numFmtId="0" fontId="7" fillId="0" borderId="0" xfId="0" applyFont="1" applyAlignment="1">
      <alignment horizontal="right"/>
    </xf>
    <xf numFmtId="0" fontId="11" fillId="0" borderId="0" xfId="0" applyFont="1" applyAlignment="1">
      <alignment horizontal="right"/>
    </xf>
    <xf numFmtId="0" fontId="12" fillId="0" borderId="0" xfId="0" applyFont="1" applyAlignment="1">
      <alignment horizontal="right"/>
    </xf>
    <xf numFmtId="0" fontId="14" fillId="7" borderId="0" xfId="0" applyFont="1" applyFill="1" applyAlignment="1">
      <alignment horizontal="center"/>
    </xf>
    <xf numFmtId="0" fontId="20" fillId="0" borderId="0" xfId="0" applyFont="1" applyAlignment="1">
      <alignment horizontal="center" vertical="center" textRotation="90"/>
    </xf>
    <xf numFmtId="0" fontId="20" fillId="0" borderId="0" xfId="0" applyFont="1" applyAlignment="1">
      <alignment vertical="center" textRotation="90"/>
    </xf>
    <xf numFmtId="0" fontId="0" fillId="0" borderId="0" xfId="0" applyAlignment="1">
      <alignment horizontal="right"/>
    </xf>
    <xf numFmtId="0" fontId="7" fillId="5" borderId="4" xfId="0" applyFont="1"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5" borderId="0" xfId="0" applyFill="1" applyAlignment="1">
      <alignment horizontal="center"/>
    </xf>
    <xf numFmtId="0" fontId="0" fillId="0" borderId="5" xfId="0" applyBorder="1"/>
    <xf numFmtId="0" fontId="13" fillId="0" borderId="4" xfId="0" applyFont="1" applyBorder="1" applyAlignment="1">
      <alignment horizontal="center"/>
    </xf>
    <xf numFmtId="0" fontId="13" fillId="0" borderId="5" xfId="0" applyFont="1" applyBorder="1" applyAlignment="1">
      <alignment horizontal="center"/>
    </xf>
    <xf numFmtId="5" fontId="0" fillId="0" borderId="4" xfId="0" applyNumberFormat="1" applyBorder="1" applyAlignment="1">
      <alignment horizontal="center"/>
    </xf>
    <xf numFmtId="5" fontId="0" fillId="5" borderId="4" xfId="0" applyNumberFormat="1" applyFill="1" applyBorder="1" applyAlignment="1">
      <alignment horizontal="center"/>
    </xf>
    <xf numFmtId="5" fontId="0" fillId="0" borderId="14" xfId="0" applyNumberFormat="1" applyBorder="1" applyAlignment="1">
      <alignment horizontal="center"/>
    </xf>
    <xf numFmtId="5" fontId="0" fillId="5" borderId="0" xfId="0" applyNumberFormat="1" applyFill="1" applyAlignment="1">
      <alignment horizontal="center"/>
    </xf>
    <xf numFmtId="0" fontId="0" fillId="5" borderId="4" xfId="0" applyFill="1" applyBorder="1" applyAlignment="1">
      <alignment horizontal="center"/>
    </xf>
    <xf numFmtId="0" fontId="0" fillId="0" borderId="14" xfId="0" applyBorder="1" applyAlignment="1">
      <alignment horizontal="center"/>
    </xf>
    <xf numFmtId="37" fontId="0" fillId="5" borderId="0" xfId="0" applyNumberFormat="1" applyFill="1" applyAlignment="1">
      <alignment horizontal="center"/>
    </xf>
    <xf numFmtId="5" fontId="0" fillId="8" borderId="4" xfId="0" applyNumberFormat="1" applyFill="1" applyBorder="1" applyAlignment="1">
      <alignment horizontal="center"/>
    </xf>
    <xf numFmtId="5" fontId="0" fillId="8" borderId="0" xfId="0" applyNumberFormat="1" applyFill="1" applyAlignment="1">
      <alignment horizontal="center"/>
    </xf>
    <xf numFmtId="5" fontId="0" fillId="8" borderId="14" xfId="0" applyNumberFormat="1" applyFill="1" applyBorder="1" applyAlignment="1">
      <alignment horizontal="center"/>
    </xf>
    <xf numFmtId="0" fontId="0" fillId="8" borderId="0" xfId="0" applyFill="1"/>
    <xf numFmtId="9" fontId="0" fillId="0" borderId="4" xfId="0" applyNumberFormat="1" applyBorder="1" applyAlignment="1">
      <alignment horizontal="center"/>
    </xf>
    <xf numFmtId="9" fontId="0" fillId="5" borderId="4" xfId="0" applyNumberFormat="1" applyFill="1" applyBorder="1" applyAlignment="1">
      <alignment horizontal="center"/>
    </xf>
    <xf numFmtId="9" fontId="0" fillId="0" borderId="14" xfId="0" applyNumberFormat="1" applyBorder="1" applyAlignment="1">
      <alignment horizontal="center"/>
    </xf>
    <xf numFmtId="9" fontId="0" fillId="5" borderId="0" xfId="0" applyNumberFormat="1" applyFill="1" applyAlignment="1">
      <alignment horizontal="center"/>
    </xf>
    <xf numFmtId="9" fontId="0" fillId="8" borderId="4" xfId="0" applyNumberFormat="1" applyFill="1" applyBorder="1" applyAlignment="1">
      <alignment horizontal="center"/>
    </xf>
    <xf numFmtId="9" fontId="0" fillId="8" borderId="0" xfId="0" applyNumberFormat="1" applyFill="1" applyAlignment="1">
      <alignment horizontal="center"/>
    </xf>
    <xf numFmtId="9" fontId="0" fillId="8" borderId="14" xfId="0" applyNumberFormat="1" applyFill="1" applyBorder="1" applyAlignment="1">
      <alignment horizontal="center"/>
    </xf>
    <xf numFmtId="0" fontId="0" fillId="8" borderId="4" xfId="0" applyFill="1" applyBorder="1" applyAlignment="1">
      <alignment horizontal="center"/>
    </xf>
    <xf numFmtId="0" fontId="0" fillId="8" borderId="0" xfId="0" applyFill="1" applyAlignment="1">
      <alignment horizontal="center"/>
    </xf>
    <xf numFmtId="0" fontId="0" fillId="8" borderId="14" xfId="0" applyFill="1" applyBorder="1" applyAlignment="1">
      <alignment horizontal="center"/>
    </xf>
    <xf numFmtId="39" fontId="0" fillId="5" borderId="4" xfId="0" applyNumberFormat="1" applyFill="1" applyBorder="1" applyAlignment="1">
      <alignment horizontal="center"/>
    </xf>
    <xf numFmtId="39" fontId="0" fillId="5" borderId="11" xfId="0" applyNumberFormat="1" applyFill="1" applyBorder="1" applyAlignment="1">
      <alignment horizontal="center"/>
    </xf>
    <xf numFmtId="5" fontId="0" fillId="0" borderId="11" xfId="0" applyNumberFormat="1" applyBorder="1" applyAlignment="1">
      <alignment horizontal="center"/>
    </xf>
    <xf numFmtId="5" fontId="0" fillId="0" borderId="15" xfId="0" applyNumberFormat="1" applyBorder="1" applyAlignment="1">
      <alignment horizontal="center"/>
    </xf>
    <xf numFmtId="0" fontId="0" fillId="0" borderId="0" xfId="0" applyAlignment="1">
      <alignment horizontal="left"/>
    </xf>
    <xf numFmtId="0" fontId="22" fillId="0" borderId="0" xfId="0" applyFont="1" applyAlignment="1">
      <alignment horizontal="right"/>
    </xf>
    <xf numFmtId="7" fontId="0" fillId="0" borderId="0" xfId="0" applyNumberFormat="1" applyAlignment="1">
      <alignment horizontal="center"/>
    </xf>
    <xf numFmtId="5" fontId="0" fillId="0" borderId="0" xfId="0" applyNumberFormat="1" applyAlignment="1">
      <alignment horizontal="center"/>
    </xf>
    <xf numFmtId="0" fontId="0" fillId="6" borderId="0" xfId="0" applyFill="1"/>
    <xf numFmtId="0" fontId="8" fillId="0" borderId="0" xfId="0" applyFont="1" applyAlignment="1">
      <alignment horizontal="center" wrapText="1"/>
    </xf>
    <xf numFmtId="1" fontId="0" fillId="7" borderId="16" xfId="0" applyNumberFormat="1" applyFill="1" applyBorder="1" applyAlignment="1">
      <alignment horizontal="center"/>
    </xf>
    <xf numFmtId="0" fontId="0" fillId="6" borderId="0" xfId="0" applyFill="1" applyAlignment="1">
      <alignment horizontal="right"/>
    </xf>
    <xf numFmtId="2" fontId="18" fillId="0" borderId="0" xfId="0" applyNumberFormat="1" applyFont="1" applyAlignment="1">
      <alignment horizontal="center"/>
    </xf>
    <xf numFmtId="2" fontId="14" fillId="0" borderId="0" xfId="0" applyNumberFormat="1" applyFont="1" applyAlignment="1">
      <alignment horizontal="center"/>
    </xf>
    <xf numFmtId="0" fontId="11" fillId="0" borderId="2" xfId="0" applyFont="1" applyBorder="1"/>
    <xf numFmtId="0" fontId="1" fillId="0" borderId="0" xfId="0" applyFont="1"/>
    <xf numFmtId="0" fontId="25" fillId="0" borderId="0" xfId="0" applyFont="1" applyAlignment="1">
      <alignment horizontal="center"/>
    </xf>
    <xf numFmtId="8" fontId="14" fillId="0" borderId="0" xfId="0" applyNumberFormat="1" applyFont="1" applyAlignment="1">
      <alignment horizontal="left"/>
    </xf>
    <xf numFmtId="8" fontId="14" fillId="0" borderId="4" xfId="0" applyNumberFormat="1" applyFont="1" applyBorder="1"/>
    <xf numFmtId="8" fontId="14" fillId="0" borderId="5" xfId="0" applyNumberFormat="1" applyFont="1" applyBorder="1"/>
    <xf numFmtId="0" fontId="1" fillId="0" borderId="0" xfId="0" applyFont="1" applyAlignment="1">
      <alignment horizontal="right"/>
    </xf>
    <xf numFmtId="0" fontId="1" fillId="0" borderId="0" xfId="0" applyFont="1" applyAlignment="1">
      <alignment horizontal="left"/>
    </xf>
    <xf numFmtId="0" fontId="1" fillId="9" borderId="0" xfId="0" applyFont="1" applyFill="1" applyAlignment="1">
      <alignment horizontal="right"/>
    </xf>
    <xf numFmtId="5" fontId="0" fillId="9" borderId="4" xfId="0" applyNumberFormat="1" applyFill="1" applyBorder="1" applyAlignment="1">
      <alignment horizontal="center"/>
    </xf>
    <xf numFmtId="5" fontId="0" fillId="9" borderId="0" xfId="0" applyNumberFormat="1" applyFill="1" applyAlignment="1">
      <alignment horizontal="center"/>
    </xf>
    <xf numFmtId="5" fontId="0" fillId="9" borderId="14" xfId="0" applyNumberFormat="1" applyFill="1" applyBorder="1" applyAlignment="1">
      <alignment horizontal="center"/>
    </xf>
    <xf numFmtId="0" fontId="1" fillId="0" borderId="0" xfId="0" applyFont="1" applyAlignment="1">
      <alignment horizontal="center"/>
    </xf>
    <xf numFmtId="165" fontId="1" fillId="0" borderId="0" xfId="0" applyNumberFormat="1" applyFont="1"/>
    <xf numFmtId="164" fontId="1" fillId="0" borderId="0" xfId="0" applyNumberFormat="1" applyFont="1" applyAlignment="1">
      <alignment horizontal="center"/>
    </xf>
    <xf numFmtId="5" fontId="1" fillId="0" borderId="0" xfId="0" applyNumberFormat="1" applyFont="1" applyAlignment="1">
      <alignment horizontal="center"/>
    </xf>
    <xf numFmtId="165" fontId="1" fillId="0" borderId="0" xfId="0" applyNumberFormat="1" applyFont="1" applyAlignment="1">
      <alignment horizontal="left"/>
    </xf>
    <xf numFmtId="165" fontId="1" fillId="0" borderId="0" xfId="0" applyNumberFormat="1" applyFont="1" applyAlignment="1">
      <alignment horizontal="center"/>
    </xf>
    <xf numFmtId="0" fontId="1" fillId="5" borderId="0" xfId="0" applyFont="1" applyFill="1" applyAlignment="1">
      <alignment horizontal="center"/>
    </xf>
    <xf numFmtId="0" fontId="4" fillId="0" borderId="0" xfId="0" applyFont="1" applyAlignment="1">
      <alignment horizontal="center"/>
    </xf>
    <xf numFmtId="5" fontId="18" fillId="7" borderId="0" xfId="0" applyNumberFormat="1" applyFont="1" applyFill="1" applyAlignment="1">
      <alignment horizontal="center"/>
    </xf>
    <xf numFmtId="43" fontId="0" fillId="0" borderId="0" xfId="3" applyFont="1"/>
    <xf numFmtId="43" fontId="4" fillId="0" borderId="0" xfId="3" applyFont="1" applyAlignment="1">
      <alignment horizontal="center"/>
    </xf>
    <xf numFmtId="43" fontId="7" fillId="0" borderId="0" xfId="3" applyFont="1" applyAlignment="1">
      <alignment horizontal="center"/>
    </xf>
    <xf numFmtId="7" fontId="0" fillId="0" borderId="0" xfId="0" applyNumberFormat="1"/>
    <xf numFmtId="0" fontId="9" fillId="10" borderId="3" xfId="0" applyFont="1" applyFill="1" applyBorder="1"/>
    <xf numFmtId="0" fontId="15" fillId="10" borderId="12" xfId="0" applyFont="1" applyFill="1" applyBorder="1"/>
    <xf numFmtId="0" fontId="15" fillId="10" borderId="13" xfId="0" applyFont="1" applyFill="1" applyBorder="1"/>
    <xf numFmtId="0" fontId="12" fillId="11" borderId="4" xfId="0" applyFont="1" applyFill="1" applyBorder="1"/>
    <xf numFmtId="0" fontId="11" fillId="11" borderId="0" xfId="0" applyFont="1" applyFill="1"/>
    <xf numFmtId="8" fontId="11" fillId="11" borderId="0" xfId="0" applyNumberFormat="1" applyFont="1" applyFill="1" applyAlignment="1">
      <alignment horizontal="center"/>
    </xf>
    <xf numFmtId="0" fontId="11" fillId="11" borderId="0" xfId="0" applyFont="1" applyFill="1" applyAlignment="1">
      <alignment horizontal="center"/>
    </xf>
    <xf numFmtId="0" fontId="28" fillId="10" borderId="1" xfId="0" applyFont="1" applyFill="1" applyBorder="1"/>
    <xf numFmtId="0" fontId="28" fillId="10" borderId="2" xfId="0" applyFont="1" applyFill="1" applyBorder="1"/>
    <xf numFmtId="0" fontId="28" fillId="10" borderId="0" xfId="0" applyFont="1" applyFill="1"/>
    <xf numFmtId="0" fontId="29" fillId="10" borderId="0" xfId="0" applyFont="1" applyFill="1"/>
    <xf numFmtId="6" fontId="30" fillId="10" borderId="2" xfId="0" applyNumberFormat="1" applyFont="1" applyFill="1" applyBorder="1" applyAlignment="1">
      <alignment horizontal="center"/>
    </xf>
    <xf numFmtId="0" fontId="31" fillId="10" borderId="11" xfId="0" applyFont="1" applyFill="1" applyBorder="1"/>
    <xf numFmtId="0" fontId="32" fillId="10" borderId="12" xfId="0" applyFont="1" applyFill="1" applyBorder="1"/>
    <xf numFmtId="0" fontId="31" fillId="10" borderId="12" xfId="0" applyFont="1" applyFill="1" applyBorder="1"/>
    <xf numFmtId="8" fontId="13" fillId="11" borderId="6" xfId="0" applyNumberFormat="1" applyFont="1" applyFill="1" applyBorder="1" applyAlignment="1" applyProtection="1">
      <alignment horizontal="center"/>
      <protection locked="0"/>
    </xf>
    <xf numFmtId="0" fontId="4" fillId="11" borderId="7" xfId="0" applyFont="1" applyFill="1" applyBorder="1" applyAlignment="1" applyProtection="1">
      <alignment horizontal="center"/>
      <protection locked="0"/>
    </xf>
    <xf numFmtId="0" fontId="11" fillId="11" borderId="5" xfId="0" applyFont="1" applyFill="1" applyBorder="1"/>
    <xf numFmtId="0" fontId="11" fillId="11" borderId="7" xfId="0" applyFont="1" applyFill="1" applyBorder="1" applyAlignment="1" applyProtection="1">
      <alignment horizontal="center"/>
      <protection locked="0"/>
    </xf>
    <xf numFmtId="8" fontId="13" fillId="11" borderId="6" xfId="0" applyNumberFormat="1" applyFont="1" applyFill="1" applyBorder="1" applyAlignment="1">
      <alignment horizontal="center"/>
    </xf>
    <xf numFmtId="0" fontId="33" fillId="0" borderId="0" xfId="0" applyFont="1"/>
    <xf numFmtId="0" fontId="33" fillId="0" borderId="0" xfId="0" applyFont="1" applyAlignment="1">
      <alignment horizontal="center"/>
    </xf>
    <xf numFmtId="0" fontId="4" fillId="0" borderId="0" xfId="0" applyFont="1" applyAlignment="1">
      <alignment horizontal="center" wrapText="1"/>
    </xf>
    <xf numFmtId="8" fontId="7" fillId="0" borderId="0" xfId="0" applyNumberFormat="1" applyFont="1" applyAlignment="1">
      <alignment horizontal="center"/>
    </xf>
    <xf numFmtId="6" fontId="8" fillId="0" borderId="0" xfId="1" applyNumberFormat="1" applyFont="1" applyFill="1" applyBorder="1" applyAlignment="1" applyProtection="1">
      <alignment horizontal="center"/>
      <protection hidden="1"/>
    </xf>
    <xf numFmtId="5" fontId="8" fillId="0" borderId="0" xfId="0" applyNumberFormat="1" applyFont="1" applyAlignment="1" applyProtection="1">
      <alignment horizontal="center"/>
      <protection hidden="1"/>
    </xf>
    <xf numFmtId="6" fontId="8" fillId="12" borderId="0" xfId="1" applyNumberFormat="1" applyFont="1" applyFill="1" applyBorder="1" applyAlignment="1" applyProtection="1">
      <alignment horizontal="center"/>
      <protection hidden="1"/>
    </xf>
    <xf numFmtId="6" fontId="4" fillId="0" borderId="0" xfId="1" applyNumberFormat="1" applyFont="1" applyFill="1" applyBorder="1" applyAlignment="1" applyProtection="1">
      <alignment horizontal="center"/>
      <protection hidden="1"/>
    </xf>
    <xf numFmtId="6" fontId="30" fillId="10" borderId="2" xfId="0" applyNumberFormat="1" applyFont="1" applyFill="1" applyBorder="1" applyAlignment="1" applyProtection="1">
      <alignment horizontal="center"/>
      <protection hidden="1"/>
    </xf>
    <xf numFmtId="0" fontId="4" fillId="6" borderId="0" xfId="0" applyFont="1" applyFill="1"/>
    <xf numFmtId="43" fontId="4" fillId="0" borderId="0" xfId="3" applyFont="1" applyFill="1" applyAlignment="1">
      <alignment horizontal="center"/>
    </xf>
    <xf numFmtId="43" fontId="4" fillId="0" borderId="0" xfId="3" applyFont="1"/>
    <xf numFmtId="43" fontId="37" fillId="0" borderId="0" xfId="3" applyFont="1" applyAlignment="1">
      <alignment horizontal="center"/>
    </xf>
    <xf numFmtId="43" fontId="37" fillId="0" borderId="0" xfId="3" applyFont="1" applyFill="1" applyAlignment="1">
      <alignment horizontal="center"/>
    </xf>
    <xf numFmtId="0" fontId="38" fillId="0" borderId="0" xfId="0" applyFont="1" applyAlignment="1">
      <alignment horizontal="left"/>
    </xf>
    <xf numFmtId="5" fontId="18" fillId="0" borderId="0" xfId="0" applyNumberFormat="1" applyFont="1" applyAlignment="1">
      <alignment horizontal="center"/>
    </xf>
    <xf numFmtId="0" fontId="39" fillId="0" borderId="0" xfId="0" applyFont="1"/>
    <xf numFmtId="0" fontId="40" fillId="0" borderId="0" xfId="0" applyFont="1"/>
    <xf numFmtId="2" fontId="0" fillId="0" borderId="0" xfId="0" applyNumberFormat="1" applyAlignment="1">
      <alignment horizontal="right"/>
    </xf>
    <xf numFmtId="165" fontId="18" fillId="7" borderId="0" xfId="0" applyNumberFormat="1" applyFont="1" applyFill="1" applyAlignment="1">
      <alignment horizontal="center"/>
    </xf>
    <xf numFmtId="165" fontId="14" fillId="7" borderId="0" xfId="0" applyNumberFormat="1" applyFont="1" applyFill="1" applyAlignment="1">
      <alignment horizontal="center"/>
    </xf>
    <xf numFmtId="165" fontId="11" fillId="0" borderId="0" xfId="0" applyNumberFormat="1" applyFont="1"/>
    <xf numFmtId="165" fontId="12" fillId="7" borderId="0" xfId="0" applyNumberFormat="1" applyFont="1" applyFill="1" applyAlignment="1">
      <alignment horizontal="center"/>
    </xf>
    <xf numFmtId="7" fontId="41" fillId="0" borderId="0" xfId="0" applyNumberFormat="1" applyFont="1" applyAlignment="1">
      <alignment horizontal="center"/>
    </xf>
    <xf numFmtId="0" fontId="41" fillId="0" borderId="0" xfId="0" applyFont="1" applyAlignment="1">
      <alignment horizontal="right"/>
    </xf>
    <xf numFmtId="5" fontId="41" fillId="0" borderId="0" xfId="0" applyNumberFormat="1" applyFont="1" applyAlignment="1">
      <alignment horizontal="center"/>
    </xf>
    <xf numFmtId="0" fontId="7" fillId="0" borderId="12" xfId="0" applyFont="1" applyBorder="1"/>
    <xf numFmtId="0" fontId="11" fillId="11" borderId="6" xfId="0" applyFont="1" applyFill="1" applyBorder="1" applyAlignment="1" applyProtection="1">
      <alignment horizontal="center"/>
      <protection locked="0"/>
    </xf>
    <xf numFmtId="0" fontId="11" fillId="11" borderId="17" xfId="0" applyFont="1" applyFill="1" applyBorder="1" applyAlignment="1" applyProtection="1">
      <alignment horizontal="center"/>
      <protection locked="0"/>
    </xf>
    <xf numFmtId="0" fontId="11" fillId="0" borderId="12" xfId="0" applyFont="1" applyBorder="1" applyAlignment="1">
      <alignment horizontal="center"/>
    </xf>
    <xf numFmtId="0" fontId="4" fillId="11" borderId="6" xfId="0" applyFont="1" applyFill="1" applyBorder="1" applyAlignment="1" applyProtection="1">
      <alignment horizontal="center"/>
      <protection locked="0"/>
    </xf>
    <xf numFmtId="0" fontId="34" fillId="11" borderId="0" xfId="0" applyFont="1" applyFill="1" applyAlignment="1">
      <alignment horizontal="center"/>
    </xf>
    <xf numFmtId="0" fontId="23" fillId="0" borderId="0" xfId="0" applyFont="1" applyAlignment="1">
      <alignment horizontal="center" vertical="top" wrapText="1"/>
    </xf>
    <xf numFmtId="0" fontId="23" fillId="0" borderId="0" xfId="0" applyFont="1" applyAlignment="1">
      <alignment horizontal="center" vertical="top"/>
    </xf>
    <xf numFmtId="0" fontId="3" fillId="11" borderId="0" xfId="0" applyFont="1" applyFill="1" applyAlignment="1">
      <alignment horizontal="center"/>
    </xf>
    <xf numFmtId="0" fontId="26" fillId="0" borderId="0" xfId="0" applyFont="1" applyAlignment="1">
      <alignment wrapText="1"/>
    </xf>
    <xf numFmtId="0" fontId="4" fillId="0" borderId="0" xfId="0" applyFont="1" applyAlignment="1">
      <alignment vertical="top" wrapText="1"/>
    </xf>
    <xf numFmtId="0" fontId="12" fillId="11" borderId="4" xfId="0" applyFont="1" applyFill="1" applyBorder="1" applyAlignment="1">
      <alignment horizontal="left" wrapText="1"/>
    </xf>
    <xf numFmtId="0" fontId="12" fillId="11" borderId="0" xfId="0" applyFont="1" applyFill="1" applyAlignment="1">
      <alignment horizontal="left" wrapText="1"/>
    </xf>
    <xf numFmtId="0" fontId="12" fillId="11" borderId="5" xfId="0" applyFont="1" applyFill="1" applyBorder="1" applyAlignment="1">
      <alignment horizontal="left" wrapText="1"/>
    </xf>
    <xf numFmtId="8" fontId="13" fillId="0" borderId="0" xfId="0" applyNumberFormat="1" applyFont="1" applyAlignment="1">
      <alignment horizontal="center" wrapText="1"/>
    </xf>
    <xf numFmtId="8" fontId="13" fillId="0" borderId="5" xfId="0" applyNumberFormat="1" applyFont="1" applyBorder="1" applyAlignment="1">
      <alignment horizontal="center" wrapText="1"/>
    </xf>
    <xf numFmtId="0" fontId="14" fillId="0" borderId="4" xfId="0" applyFont="1" applyBorder="1" applyAlignment="1">
      <alignment horizontal="left" indent="1"/>
    </xf>
    <xf numFmtId="0" fontId="14" fillId="0" borderId="0" xfId="0" applyFont="1" applyAlignment="1">
      <alignment horizontal="left" indent="1"/>
    </xf>
    <xf numFmtId="0" fontId="14" fillId="0" borderId="5" xfId="0" applyFont="1" applyBorder="1" applyAlignment="1">
      <alignment horizontal="left" indent="1"/>
    </xf>
    <xf numFmtId="0" fontId="0" fillId="0" borderId="0" xfId="0" applyAlignment="1">
      <alignment horizontal="center"/>
    </xf>
    <xf numFmtId="0" fontId="7" fillId="11" borderId="0" xfId="0" applyFont="1" applyFill="1" applyAlignment="1" applyProtection="1">
      <alignment horizontal="center" vertical="center"/>
      <protection locked="0"/>
    </xf>
    <xf numFmtId="0" fontId="11" fillId="0" borderId="0" xfId="0" applyFont="1" applyAlignment="1">
      <alignment horizontal="center"/>
    </xf>
    <xf numFmtId="0" fontId="19" fillId="3" borderId="0" xfId="0" applyFont="1" applyFill="1" applyAlignment="1">
      <alignment horizontal="center" vertical="center" textRotation="90"/>
    </xf>
    <xf numFmtId="0" fontId="7" fillId="0" borderId="0" xfId="0" applyFont="1" applyAlignment="1">
      <alignment horizontal="center"/>
    </xf>
    <xf numFmtId="0" fontId="7" fillId="3" borderId="0" xfId="0" applyFont="1" applyFill="1" applyAlignment="1">
      <alignment horizontal="center"/>
    </xf>
    <xf numFmtId="0" fontId="7" fillId="0" borderId="0" xfId="0" applyFont="1" applyAlignment="1">
      <alignment horizontal="center" wrapText="1"/>
    </xf>
    <xf numFmtId="0" fontId="13" fillId="0" borderId="0" xfId="0" applyFont="1" applyAlignment="1">
      <alignment horizontal="center"/>
    </xf>
    <xf numFmtId="0" fontId="17" fillId="0" borderId="0" xfId="0" applyFont="1" applyAlignment="1">
      <alignment horizontal="left"/>
    </xf>
    <xf numFmtId="9" fontId="17" fillId="3" borderId="0" xfId="2" applyFont="1" applyFill="1" applyAlignment="1">
      <alignment horizontal="center"/>
    </xf>
    <xf numFmtId="0" fontId="0" fillId="2" borderId="1" xfId="0" applyFill="1" applyBorder="1" applyAlignment="1">
      <alignment horizontal="center"/>
    </xf>
    <xf numFmtId="0" fontId="0" fillId="2" borderId="3" xfId="0" applyFill="1" applyBorder="1" applyAlignment="1">
      <alignment horizontal="center"/>
    </xf>
    <xf numFmtId="0" fontId="35" fillId="2" borderId="4" xfId="0" applyFont="1" applyFill="1" applyBorder="1" applyAlignment="1">
      <alignment horizontal="center"/>
    </xf>
    <xf numFmtId="0" fontId="0" fillId="2" borderId="5" xfId="0" applyFill="1" applyBorder="1" applyAlignment="1">
      <alignment horizontal="center"/>
    </xf>
    <xf numFmtId="0" fontId="7" fillId="5" borderId="4" xfId="0" applyFont="1" applyFill="1" applyBorder="1" applyAlignment="1">
      <alignment horizontal="center"/>
    </xf>
    <xf numFmtId="0" fontId="0" fillId="5" borderId="0" xfId="0" applyFill="1" applyAlignment="1">
      <alignment horizontal="center"/>
    </xf>
    <xf numFmtId="0" fontId="21" fillId="5" borderId="0" xfId="0" applyFont="1" applyFill="1" applyAlignment="1">
      <alignment horizontal="center"/>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0000FF"/>
      <color rgb="FFCC9900"/>
      <color rgb="FFFFFF66"/>
      <color rgb="FFFFCC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X62"/>
  <sheetViews>
    <sheetView showGridLines="0" tabSelected="1" zoomScale="80" zoomScaleNormal="80" workbookViewId="0">
      <selection activeCell="Q8" sqref="Q8"/>
    </sheetView>
  </sheetViews>
  <sheetFormatPr defaultColWidth="9.140625" defaultRowHeight="12.75" x14ac:dyDescent="0.2"/>
  <cols>
    <col min="1" max="1" width="4.5703125" customWidth="1"/>
    <col min="2" max="2" width="3.42578125" customWidth="1"/>
    <col min="3" max="3" width="32.5703125" customWidth="1"/>
    <col min="4" max="4" width="22.42578125" customWidth="1"/>
    <col min="5" max="5" width="25.42578125" customWidth="1"/>
    <col min="6" max="6" width="31.5703125" bestFit="1" customWidth="1"/>
    <col min="7" max="7" width="15.42578125" customWidth="1"/>
    <col min="8" max="8" width="2.5703125" customWidth="1"/>
    <col min="9" max="9" width="18.5703125" bestFit="1" customWidth="1"/>
    <col min="10" max="10" width="16.5703125" customWidth="1"/>
    <col min="11" max="11" width="23" customWidth="1"/>
    <col min="12" max="12" width="5.5703125" customWidth="1"/>
    <col min="13" max="14" width="5.42578125" customWidth="1"/>
    <col min="15" max="18" width="15.42578125" style="1" customWidth="1"/>
    <col min="19" max="19" width="5.42578125" customWidth="1"/>
    <col min="20" max="24" width="13.42578125" style="1" customWidth="1"/>
    <col min="25" max="25" width="3" customWidth="1"/>
    <col min="26" max="30" width="13.42578125" customWidth="1"/>
    <col min="31" max="31" width="2.85546875" customWidth="1"/>
    <col min="32" max="36" width="13.42578125" customWidth="1"/>
  </cols>
  <sheetData>
    <row r="1" spans="2:24" s="165" customFormat="1" ht="60" x14ac:dyDescent="0.8">
      <c r="B1" s="196" t="s">
        <v>121</v>
      </c>
      <c r="C1" s="196"/>
      <c r="D1" s="196"/>
      <c r="E1" s="196"/>
      <c r="F1" s="196"/>
      <c r="G1" s="196"/>
      <c r="H1" s="196"/>
      <c r="I1" s="196"/>
      <c r="J1" s="196"/>
      <c r="K1" s="196"/>
      <c r="L1" s="196"/>
      <c r="O1" s="166"/>
      <c r="P1" s="166"/>
      <c r="Q1" s="166"/>
      <c r="R1" s="166"/>
      <c r="T1" s="166"/>
      <c r="U1" s="166"/>
      <c r="V1" s="166"/>
      <c r="W1" s="166"/>
      <c r="X1" s="166"/>
    </row>
    <row r="2" spans="2:24" ht="27.75" customHeight="1" x14ac:dyDescent="0.4">
      <c r="B2" s="199" t="s">
        <v>143</v>
      </c>
      <c r="C2" s="199"/>
      <c r="D2" s="199"/>
      <c r="E2" s="199"/>
      <c r="F2" s="199"/>
      <c r="G2" s="199"/>
      <c r="H2" s="199"/>
      <c r="I2" s="199"/>
      <c r="J2" s="199"/>
      <c r="K2" s="199"/>
      <c r="L2" s="199"/>
    </row>
    <row r="3" spans="2:24" ht="22.5" customHeight="1" x14ac:dyDescent="0.4">
      <c r="B3" s="2"/>
      <c r="C3" s="3"/>
      <c r="D3" s="3"/>
      <c r="E3" s="3"/>
      <c r="F3" s="3"/>
      <c r="G3" s="3"/>
      <c r="H3" s="3"/>
      <c r="I3" s="3"/>
      <c r="J3" s="210"/>
      <c r="K3" s="210"/>
      <c r="L3" s="210"/>
      <c r="O3"/>
    </row>
    <row r="4" spans="2:24" ht="23.25" x14ac:dyDescent="0.35">
      <c r="B4" s="4" t="s">
        <v>0</v>
      </c>
      <c r="C4" s="4"/>
      <c r="D4" s="5"/>
      <c r="E4" s="5"/>
    </row>
    <row r="5" spans="2:24" ht="18.75" customHeight="1" x14ac:dyDescent="0.2">
      <c r="B5" s="2"/>
      <c r="C5" s="2" t="s">
        <v>112</v>
      </c>
      <c r="D5" s="2"/>
      <c r="E5" s="2"/>
      <c r="F5" s="211" t="s">
        <v>1</v>
      </c>
      <c r="G5" s="211"/>
      <c r="H5" s="211"/>
      <c r="I5" s="211"/>
    </row>
    <row r="6" spans="2:24" ht="8.25" customHeight="1" thickBot="1" x14ac:dyDescent="0.25">
      <c r="B6" s="2"/>
      <c r="C6" s="2"/>
      <c r="D6" s="2"/>
      <c r="E6" s="2"/>
    </row>
    <row r="7" spans="2:24" ht="5.0999999999999996" customHeight="1" x14ac:dyDescent="0.2">
      <c r="B7" s="6"/>
      <c r="C7" s="7"/>
      <c r="D7" s="7"/>
      <c r="E7" s="7"/>
      <c r="F7" s="7"/>
      <c r="G7" s="7"/>
      <c r="H7" s="7"/>
      <c r="I7" s="7"/>
      <c r="J7" s="7"/>
      <c r="K7" s="7"/>
      <c r="L7" s="8"/>
    </row>
    <row r="8" spans="2:24" s="10" customFormat="1" ht="23.25" x14ac:dyDescent="0.35">
      <c r="B8" s="9" t="s">
        <v>125</v>
      </c>
      <c r="F8" s="11"/>
      <c r="G8" s="12"/>
      <c r="H8" s="12"/>
      <c r="I8" s="13"/>
      <c r="J8" s="13"/>
      <c r="K8" s="11"/>
      <c r="L8" s="14"/>
    </row>
    <row r="9" spans="2:24" s="16" customFormat="1" ht="4.5" customHeight="1" x14ac:dyDescent="0.2">
      <c r="B9" s="15"/>
      <c r="L9" s="17"/>
    </row>
    <row r="10" spans="2:24" s="16" customFormat="1" ht="15" thickBot="1" x14ac:dyDescent="0.25">
      <c r="B10" s="15"/>
      <c r="F10" s="18" t="s">
        <v>2</v>
      </c>
      <c r="G10" s="212" t="s">
        <v>3</v>
      </c>
      <c r="H10" s="212"/>
      <c r="I10" s="19" t="s">
        <v>4</v>
      </c>
      <c r="L10" s="17"/>
    </row>
    <row r="11" spans="2:24" s="16" customFormat="1" ht="15.75" thickBot="1" x14ac:dyDescent="0.3">
      <c r="B11" s="202" t="s">
        <v>5</v>
      </c>
      <c r="C11" s="203"/>
      <c r="D11" s="203"/>
      <c r="E11" s="203"/>
      <c r="F11" s="160" t="s">
        <v>8</v>
      </c>
      <c r="G11" s="195"/>
      <c r="H11" s="193"/>
      <c r="I11" s="161"/>
      <c r="J11" s="207" t="str">
        <f>IF(AND(I11&lt;&gt;FALSE,VLOOKUP(F5,'Plan Defn'!A36:H41,7,FALSE)=0),"Error - Spouse Not Listed as Eligible","")</f>
        <v/>
      </c>
      <c r="K11" s="208"/>
      <c r="L11" s="209"/>
    </row>
    <row r="12" spans="2:24" s="16" customFormat="1" ht="14.1" customHeight="1" x14ac:dyDescent="0.2">
      <c r="B12" s="202"/>
      <c r="C12" s="203"/>
      <c r="D12" s="203"/>
      <c r="E12" s="203"/>
      <c r="F12" s="18"/>
      <c r="G12" s="18"/>
      <c r="H12" s="18"/>
      <c r="I12" s="18"/>
      <c r="J12" s="18"/>
      <c r="K12" s="18"/>
      <c r="L12" s="17"/>
    </row>
    <row r="13" spans="2:24" s="16" customFormat="1" ht="5.25" customHeight="1" x14ac:dyDescent="0.2">
      <c r="B13" s="15"/>
      <c r="F13" s="18"/>
      <c r="G13" s="18"/>
      <c r="H13" s="18"/>
      <c r="I13" s="18"/>
      <c r="J13" s="18"/>
      <c r="K13" s="18"/>
      <c r="L13" s="17"/>
      <c r="R13" s="122" t="s">
        <v>89</v>
      </c>
    </row>
    <row r="14" spans="2:24" s="16" customFormat="1" ht="32.25" customHeight="1" x14ac:dyDescent="0.25">
      <c r="B14" s="202" t="s">
        <v>134</v>
      </c>
      <c r="C14" s="203"/>
      <c r="D14" s="203"/>
      <c r="E14" s="203"/>
      <c r="F14" s="203"/>
      <c r="G14" s="203"/>
      <c r="H14" s="203"/>
      <c r="I14" s="203"/>
      <c r="J14" s="203"/>
      <c r="K14" s="203"/>
      <c r="L14" s="204"/>
      <c r="P14" s="2"/>
      <c r="R14" s="122"/>
    </row>
    <row r="15" spans="2:24" s="16" customFormat="1" ht="6" customHeight="1" x14ac:dyDescent="0.2">
      <c r="B15" s="15"/>
      <c r="F15" s="18"/>
      <c r="G15" s="18"/>
      <c r="H15" s="18"/>
      <c r="I15" s="18"/>
      <c r="J15" s="18"/>
      <c r="K15" s="18"/>
      <c r="L15" s="17"/>
    </row>
    <row r="16" spans="2:24" s="16" customFormat="1" ht="14.85" customHeight="1" thickBot="1" x14ac:dyDescent="0.25">
      <c r="B16" s="15"/>
      <c r="F16" s="18" t="s">
        <v>2</v>
      </c>
      <c r="G16" s="194" t="s">
        <v>3</v>
      </c>
      <c r="H16" s="194"/>
      <c r="I16" s="19" t="s">
        <v>4</v>
      </c>
      <c r="J16" s="19" t="s">
        <v>7</v>
      </c>
      <c r="K16" s="18"/>
      <c r="L16" s="17"/>
    </row>
    <row r="17" spans="2:12" s="16" customFormat="1" ht="16.5" thickBot="1" x14ac:dyDescent="0.3">
      <c r="B17" s="15"/>
      <c r="C17" s="10" t="s">
        <v>113</v>
      </c>
      <c r="F17" s="160" t="s">
        <v>8</v>
      </c>
      <c r="G17" s="192">
        <v>0</v>
      </c>
      <c r="H17" s="193"/>
      <c r="I17" s="163">
        <v>0</v>
      </c>
      <c r="J17" s="163">
        <v>0</v>
      </c>
      <c r="K17" s="124" t="str">
        <f>IF(AND(VLOOKUP(F$5,'Plan Defn'!A$36:H$41,7,FALSE)=0,'Plan Comparison Calculator'!I17&gt;0),"Error - Check Spouse/Child Enrollment",IF(AND(VLOOKUP(F$5,'Plan Defn'!A$36:H$41,8,FALSE)=0,'Plan Comparison Calculator'!J17&gt;0),"Error - Check Spouse/Child Enrollment",""))</f>
        <v/>
      </c>
      <c r="L17" s="125"/>
    </row>
    <row r="18" spans="2:12" s="16" customFormat="1" ht="5.25" customHeight="1" thickBot="1" x14ac:dyDescent="0.25">
      <c r="B18" s="15"/>
      <c r="C18" s="10"/>
      <c r="F18" s="18"/>
      <c r="K18" s="18"/>
      <c r="L18" s="17"/>
    </row>
    <row r="19" spans="2:12" s="16" customFormat="1" ht="16.5" thickBot="1" x14ac:dyDescent="0.3">
      <c r="B19" s="15"/>
      <c r="C19" s="10" t="s">
        <v>114</v>
      </c>
      <c r="F19" s="160" t="s">
        <v>8</v>
      </c>
      <c r="G19" s="192">
        <v>0</v>
      </c>
      <c r="H19" s="193"/>
      <c r="I19" s="163">
        <v>0</v>
      </c>
      <c r="J19" s="163">
        <v>0</v>
      </c>
      <c r="K19" s="123" t="str">
        <f>IF(AND(VLOOKUP(F$5,'Plan Defn'!A$36:H$41,7,FALSE)=0,'Plan Comparison Calculator'!I19&gt;0),"Error - Check Spouse/Child Enrollment",IF(AND(VLOOKUP(F$5,'Plan Defn'!A$36:H$41,8,FALSE)=0,'Plan Comparison Calculator'!J19&gt;0),"Error - Check Spouse/Child Enrollment",""))</f>
        <v/>
      </c>
      <c r="L19" s="17"/>
    </row>
    <row r="20" spans="2:12" s="16" customFormat="1" ht="5.25" customHeight="1" thickBot="1" x14ac:dyDescent="0.25">
      <c r="B20" s="15"/>
      <c r="C20" s="10"/>
      <c r="F20" s="18"/>
      <c r="K20" s="18"/>
      <c r="L20" s="17"/>
    </row>
    <row r="21" spans="2:12" s="16" customFormat="1" ht="16.5" thickBot="1" x14ac:dyDescent="0.3">
      <c r="B21" s="15"/>
      <c r="C21" s="10" t="s">
        <v>115</v>
      </c>
      <c r="F21" s="160" t="s">
        <v>8</v>
      </c>
      <c r="G21" s="192">
        <v>0</v>
      </c>
      <c r="H21" s="193"/>
      <c r="I21" s="163">
        <v>0</v>
      </c>
      <c r="J21" s="163">
        <v>0</v>
      </c>
      <c r="K21" s="123" t="str">
        <f>IF(AND(VLOOKUP(F$5,'Plan Defn'!A$36:H$41,7,FALSE)=0,'Plan Comparison Calculator'!I21&gt;0),"Error - Check Spouse/Child Enrollment",IF(AND(VLOOKUP(F$5,'Plan Defn'!A$36:H$41,8,FALSE)=0,'Plan Comparison Calculator'!J21&gt;0),"Error - Check Spouse/Child Enrollment",""))</f>
        <v/>
      </c>
      <c r="L21" s="17"/>
    </row>
    <row r="22" spans="2:12" s="16" customFormat="1" ht="5.25" customHeight="1" thickBot="1" x14ac:dyDescent="0.25">
      <c r="B22" s="15"/>
      <c r="C22" s="10"/>
      <c r="F22" s="18"/>
      <c r="K22" s="18"/>
      <c r="L22" s="17"/>
    </row>
    <row r="23" spans="2:12" s="16" customFormat="1" ht="16.5" thickBot="1" x14ac:dyDescent="0.3">
      <c r="B23" s="15"/>
      <c r="C23" s="10" t="s">
        <v>116</v>
      </c>
      <c r="F23" s="160" t="s">
        <v>8</v>
      </c>
      <c r="G23" s="192">
        <v>0</v>
      </c>
      <c r="H23" s="193"/>
      <c r="I23" s="163">
        <v>0</v>
      </c>
      <c r="J23" s="163">
        <v>0</v>
      </c>
      <c r="K23" s="123" t="str">
        <f>IF(AND(VLOOKUP(F$5,'Plan Defn'!A$36:H$41,7,FALSE)=0,'Plan Comparison Calculator'!I23&gt;0),"Error - Check Spouse/Child Enrollment",IF(AND(VLOOKUP(F$5,'Plan Defn'!A$36:H$41,8,FALSE)=0,'Plan Comparison Calculator'!J23&gt;0),"Error - Check Spouse/Child Enrollment",""))</f>
        <v/>
      </c>
      <c r="L23" s="17"/>
    </row>
    <row r="24" spans="2:12" s="16" customFormat="1" ht="5.25" customHeight="1" thickBot="1" x14ac:dyDescent="0.25">
      <c r="B24" s="15"/>
      <c r="C24" s="10"/>
      <c r="F24" s="18"/>
      <c r="K24" s="18"/>
      <c r="L24" s="17"/>
    </row>
    <row r="25" spans="2:12" s="16" customFormat="1" ht="16.5" thickBot="1" x14ac:dyDescent="0.3">
      <c r="B25" s="15"/>
      <c r="C25" s="10" t="s">
        <v>117</v>
      </c>
      <c r="F25" s="160" t="s">
        <v>8</v>
      </c>
      <c r="G25" s="192">
        <v>0</v>
      </c>
      <c r="H25" s="193"/>
      <c r="I25" s="163">
        <v>0</v>
      </c>
      <c r="J25" s="163">
        <v>0</v>
      </c>
      <c r="K25" s="123" t="str">
        <f>IF(AND(VLOOKUP(F$5,'Plan Defn'!A$36:H$41,7,FALSE)=0,'Plan Comparison Calculator'!I25&gt;0),"Error - Check Spouse/Child Enrollment",IF(AND(VLOOKUP(F$5,'Plan Defn'!A$36:H$41,8,FALSE)=0,'Plan Comparison Calculator'!J25&gt;0),"Error - Check Spouse/Child Enrollment",""))</f>
        <v/>
      </c>
      <c r="L25" s="17"/>
    </row>
    <row r="26" spans="2:12" s="16" customFormat="1" ht="5.25" customHeight="1" thickBot="1" x14ac:dyDescent="0.25">
      <c r="B26" s="15"/>
      <c r="C26" s="10"/>
      <c r="F26" s="18"/>
      <c r="K26" s="18"/>
      <c r="L26" s="17"/>
    </row>
    <row r="27" spans="2:12" s="16" customFormat="1" ht="16.5" thickBot="1" x14ac:dyDescent="0.3">
      <c r="B27" s="15"/>
      <c r="C27" s="10" t="s">
        <v>118</v>
      </c>
      <c r="F27" s="160" t="s">
        <v>8</v>
      </c>
      <c r="G27" s="192">
        <v>0</v>
      </c>
      <c r="H27" s="193"/>
      <c r="I27" s="163">
        <v>0</v>
      </c>
      <c r="J27" s="163">
        <v>0</v>
      </c>
      <c r="K27" s="123" t="str">
        <f>IF(AND(VLOOKUP(F$5,'Plan Defn'!A$36:H$41,7,FALSE)=0,'Plan Comparison Calculator'!I27&gt;0),"Error - Check Spouse/Child Enrollment",IF(AND(VLOOKUP(F$5,'Plan Defn'!A$36:H$41,8,FALSE)=0,'Plan Comparison Calculator'!J27&gt;0),"Error - Check Spouse/Child Enrollment",""))</f>
        <v/>
      </c>
      <c r="L27" s="17"/>
    </row>
    <row r="28" spans="2:12" s="16" customFormat="1" ht="5.25" customHeight="1" thickBot="1" x14ac:dyDescent="0.25">
      <c r="B28" s="15"/>
      <c r="C28" s="10"/>
      <c r="F28" s="18"/>
      <c r="K28" s="18"/>
      <c r="L28" s="17"/>
    </row>
    <row r="29" spans="2:12" s="16" customFormat="1" ht="16.5" thickBot="1" x14ac:dyDescent="0.3">
      <c r="B29" s="15"/>
      <c r="C29" s="10" t="s">
        <v>119</v>
      </c>
      <c r="F29" s="160" t="s">
        <v>8</v>
      </c>
      <c r="G29" s="192">
        <v>0</v>
      </c>
      <c r="H29" s="193"/>
      <c r="I29" s="163">
        <v>0</v>
      </c>
      <c r="J29" s="163">
        <v>0</v>
      </c>
      <c r="K29" s="123" t="str">
        <f>IF(AND(VLOOKUP(F$5,'Plan Defn'!A$36:H$41,7,FALSE)=0,'Plan Comparison Calculator'!I29&gt;0),"Error - Check Spouse/Child Enrollment",IF(AND(VLOOKUP(F$5,'Plan Defn'!A$36:H$41,8,FALSE)=0,'Plan Comparison Calculator'!J29&gt;0),"Error - Check Spouse/Child Enrollment",""))</f>
        <v/>
      </c>
      <c r="L29" s="17"/>
    </row>
    <row r="30" spans="2:12" s="16" customFormat="1" ht="5.25" customHeight="1" thickBot="1" x14ac:dyDescent="0.25">
      <c r="B30" s="15"/>
      <c r="C30" s="10"/>
      <c r="F30" s="18"/>
      <c r="K30" s="18"/>
      <c r="L30" s="17"/>
    </row>
    <row r="31" spans="2:12" s="16" customFormat="1" ht="16.5" thickBot="1" x14ac:dyDescent="0.3">
      <c r="B31" s="15"/>
      <c r="C31" s="10" t="s">
        <v>120</v>
      </c>
      <c r="F31" s="160" t="s">
        <v>8</v>
      </c>
      <c r="G31" s="192">
        <v>0</v>
      </c>
      <c r="H31" s="193"/>
      <c r="I31" s="163">
        <v>0</v>
      </c>
      <c r="J31" s="163">
        <v>0</v>
      </c>
      <c r="K31" s="123" t="str">
        <f>IF(AND(VLOOKUP(F$5,'Plan Defn'!A$36:H$41,7,FALSE)=0,'Plan Comparison Calculator'!I31&gt;0),"Error - Check Spouse/Child Enrollment",IF(AND(VLOOKUP(F$5,'Plan Defn'!A$36:H$41,8,FALSE)=0,'Plan Comparison Calculator'!J31&gt;0),"Error - Check Spouse/Child Enrollment",""))</f>
        <v/>
      </c>
      <c r="L31" s="17"/>
    </row>
    <row r="32" spans="2:12" s="16" customFormat="1" ht="5.25" customHeight="1" thickBot="1" x14ac:dyDescent="0.25">
      <c r="B32" s="15"/>
      <c r="C32" s="10"/>
      <c r="F32" s="18"/>
      <c r="K32" s="18"/>
      <c r="L32" s="17"/>
    </row>
    <row r="33" spans="2:12" s="16" customFormat="1" ht="16.5" thickBot="1" x14ac:dyDescent="0.3">
      <c r="B33" s="15"/>
      <c r="C33" s="10" t="s">
        <v>133</v>
      </c>
      <c r="F33" s="160" t="s">
        <v>8</v>
      </c>
      <c r="G33" s="192">
        <v>0</v>
      </c>
      <c r="H33" s="193"/>
      <c r="I33" s="163">
        <v>0</v>
      </c>
      <c r="J33" s="163">
        <v>0</v>
      </c>
      <c r="K33" s="123" t="str">
        <f>IF(AND(VLOOKUP(F$5,'Plan Defn'!A$36:H$41,7,FALSE)=0,'Plan Comparison Calculator'!I33&gt;0),"Error - Check Spouse/Child Enrollment",IF(AND(VLOOKUP(F$5,'Plan Defn'!A$36:H$41,8,FALSE)=0,'Plan Comparison Calculator'!J33&gt;0),"Error - Check Spouse/Child Enrollment",""))</f>
        <v/>
      </c>
      <c r="L33" s="17"/>
    </row>
    <row r="34" spans="2:12" s="16" customFormat="1" ht="5.25" customHeight="1" x14ac:dyDescent="0.2">
      <c r="B34" s="15"/>
      <c r="F34" s="18"/>
      <c r="J34" s="16" t="s">
        <v>9</v>
      </c>
      <c r="K34" s="18"/>
      <c r="L34" s="17"/>
    </row>
    <row r="35" spans="2:12" s="16" customFormat="1" ht="23.25" x14ac:dyDescent="0.35">
      <c r="B35" s="9" t="s">
        <v>126</v>
      </c>
      <c r="F35" s="18"/>
      <c r="G35" s="19"/>
      <c r="H35" s="19"/>
      <c r="I35" s="19"/>
      <c r="K35" s="18"/>
      <c r="L35" s="17"/>
    </row>
    <row r="36" spans="2:12" s="16" customFormat="1" ht="5.25" customHeight="1" x14ac:dyDescent="0.2">
      <c r="B36" s="15"/>
      <c r="F36" s="18"/>
      <c r="K36" s="18"/>
      <c r="L36" s="17"/>
    </row>
    <row r="37" spans="2:12" s="16" customFormat="1" ht="14.1" customHeight="1" x14ac:dyDescent="0.25">
      <c r="B37" s="148" t="s">
        <v>124</v>
      </c>
      <c r="C37" s="149"/>
      <c r="D37" s="149"/>
      <c r="E37" s="149"/>
      <c r="F37" s="150"/>
      <c r="G37" s="151"/>
      <c r="H37" s="151"/>
      <c r="I37" s="151"/>
      <c r="J37" s="149"/>
      <c r="K37" s="150"/>
      <c r="L37" s="162"/>
    </row>
    <row r="38" spans="2:12" s="16" customFormat="1" ht="30.75" customHeight="1" thickBot="1" x14ac:dyDescent="0.25">
      <c r="B38" s="15"/>
      <c r="C38" s="10" t="s">
        <v>10</v>
      </c>
      <c r="E38" s="18" t="s">
        <v>2</v>
      </c>
      <c r="F38" s="167" t="s">
        <v>123</v>
      </c>
      <c r="G38" s="205" t="s">
        <v>131</v>
      </c>
      <c r="H38" s="205"/>
      <c r="I38" s="205"/>
      <c r="J38" s="205"/>
      <c r="K38" s="205"/>
      <c r="L38" s="206"/>
    </row>
    <row r="39" spans="2:12" s="16" customFormat="1" ht="13.5" customHeight="1" thickBot="1" x14ac:dyDescent="0.25">
      <c r="B39" s="15"/>
      <c r="C39" s="20" t="s">
        <v>11</v>
      </c>
      <c r="E39" s="164" t="s">
        <v>8</v>
      </c>
      <c r="F39" s="163"/>
      <c r="G39" s="205"/>
      <c r="H39" s="205"/>
      <c r="I39" s="205"/>
      <c r="J39" s="205"/>
      <c r="K39" s="205"/>
      <c r="L39" s="206"/>
    </row>
    <row r="40" spans="2:12" s="16" customFormat="1" ht="14.1" customHeight="1" thickBot="1" x14ac:dyDescent="0.25">
      <c r="B40" s="15"/>
      <c r="C40" s="20" t="s">
        <v>12</v>
      </c>
      <c r="E40" s="164" t="s">
        <v>8</v>
      </c>
      <c r="F40" s="163"/>
      <c r="G40" s="205"/>
      <c r="H40" s="205"/>
      <c r="I40" s="205"/>
      <c r="J40" s="205"/>
      <c r="K40" s="205"/>
      <c r="L40" s="206"/>
    </row>
    <row r="41" spans="2:12" s="16" customFormat="1" ht="14.1" customHeight="1" thickBot="1" x14ac:dyDescent="0.25">
      <c r="B41" s="15"/>
      <c r="C41" s="20" t="s">
        <v>13</v>
      </c>
      <c r="E41" s="164" t="s">
        <v>8</v>
      </c>
      <c r="F41" s="163"/>
      <c r="G41" s="205"/>
      <c r="H41" s="205"/>
      <c r="I41" s="205"/>
      <c r="J41" s="205"/>
      <c r="K41" s="205"/>
      <c r="L41" s="206"/>
    </row>
    <row r="42" spans="2:12" s="16" customFormat="1" ht="5.25" customHeight="1" x14ac:dyDescent="0.2">
      <c r="B42" s="15"/>
      <c r="F42" s="18"/>
      <c r="G42" s="205"/>
      <c r="H42" s="205"/>
      <c r="I42" s="205"/>
      <c r="J42" s="205"/>
      <c r="K42" s="205"/>
      <c r="L42" s="206"/>
    </row>
    <row r="43" spans="2:12" s="10" customFormat="1" ht="5.25" customHeight="1" x14ac:dyDescent="0.25">
      <c r="B43" s="21"/>
      <c r="F43" s="22"/>
      <c r="G43" s="23"/>
      <c r="H43" s="23"/>
      <c r="I43" s="22"/>
      <c r="J43" s="23"/>
      <c r="K43" s="24"/>
      <c r="L43" s="25"/>
    </row>
    <row r="44" spans="2:12" s="16" customFormat="1" ht="5.25" customHeight="1" x14ac:dyDescent="0.2">
      <c r="B44" s="26"/>
      <c r="C44" s="27"/>
      <c r="D44" s="27"/>
      <c r="E44" s="27"/>
      <c r="F44" s="28"/>
      <c r="G44" s="28"/>
      <c r="H44" s="28"/>
      <c r="I44" s="28"/>
      <c r="J44" s="28"/>
      <c r="K44" s="28"/>
      <c r="L44" s="29"/>
    </row>
    <row r="45" spans="2:12" s="16" customFormat="1" ht="5.25" customHeight="1" x14ac:dyDescent="0.2">
      <c r="B45" s="15"/>
      <c r="F45" s="18"/>
      <c r="G45" s="18"/>
      <c r="H45" s="18"/>
      <c r="I45" s="18"/>
      <c r="J45" s="18"/>
      <c r="K45" s="18"/>
      <c r="L45" s="17"/>
    </row>
    <row r="46" spans="2:12" s="16" customFormat="1" ht="15.75" x14ac:dyDescent="0.25">
      <c r="B46" s="15"/>
      <c r="F46" s="18"/>
      <c r="G46" s="168" t="s">
        <v>128</v>
      </c>
      <c r="H46" s="18"/>
      <c r="I46" s="168" t="s">
        <v>128</v>
      </c>
      <c r="J46" s="168" t="s">
        <v>128</v>
      </c>
      <c r="L46" s="17"/>
    </row>
    <row r="47" spans="2:12" s="12" customFormat="1" ht="23.25" x14ac:dyDescent="0.35">
      <c r="B47" s="9" t="s">
        <v>127</v>
      </c>
      <c r="G47" s="13" t="str">
        <f>P1_Plan</f>
        <v>HSA HMO</v>
      </c>
      <c r="H47" s="13"/>
      <c r="I47" s="13" t="str">
        <f>P3_Plan</f>
        <v>Virtual Plus Plan</v>
      </c>
      <c r="J47" s="13" t="str">
        <f>P2_Plan</f>
        <v>Access PPO</v>
      </c>
      <c r="L47" s="30"/>
    </row>
    <row r="48" spans="2:12" s="32" customFormat="1" ht="15.75" x14ac:dyDescent="0.25">
      <c r="B48" s="31"/>
      <c r="C48" s="10" t="s">
        <v>14</v>
      </c>
      <c r="D48" s="16"/>
      <c r="E48" s="16"/>
      <c r="G48" s="169">
        <f>VLOOKUP($F$5,'OOP Calc'!$C$238:$D$243,2,FALSE)</f>
        <v>0</v>
      </c>
      <c r="H48" s="34"/>
      <c r="I48" s="171">
        <f>VLOOKUP($F$5,'OOP Calc'!$C$178:$D$183,2,FALSE)</f>
        <v>0</v>
      </c>
      <c r="J48" s="169">
        <f>VLOOKUP($F$5,'OOP Calc'!$C$118:$D$123,2,FALSE)</f>
        <v>0</v>
      </c>
      <c r="L48" s="33"/>
    </row>
    <row r="49" spans="2:24" s="32" customFormat="1" ht="15.75" x14ac:dyDescent="0.25">
      <c r="B49" s="31"/>
      <c r="C49" s="10" t="s">
        <v>101</v>
      </c>
      <c r="D49" s="16"/>
      <c r="E49" s="16"/>
      <c r="G49" s="170">
        <f>VLOOKUP($F$5,Employee_CostShare,2,FALSE)*12</f>
        <v>420</v>
      </c>
      <c r="H49" s="34"/>
      <c r="I49" s="170">
        <f>VLOOKUP($F$5,Employee_CostShare,5,FALSE)*12</f>
        <v>600</v>
      </c>
      <c r="J49" s="170">
        <f>VLOOKUP($F$5,Employee_CostShare,3,FALSE)*12</f>
        <v>1680</v>
      </c>
      <c r="L49" s="33"/>
    </row>
    <row r="50" spans="2:24" s="32" customFormat="1" ht="18" customHeight="1" x14ac:dyDescent="0.25">
      <c r="B50" s="31"/>
      <c r="C50" s="10" t="s">
        <v>136</v>
      </c>
      <c r="D50" s="16"/>
      <c r="E50" s="16"/>
      <c r="G50" s="169">
        <f>-VLOOKUP($F$5,HSA_Contribution,2,FALSE)</f>
        <v>-780</v>
      </c>
      <c r="H50" s="35"/>
      <c r="I50" s="172" t="s">
        <v>103</v>
      </c>
      <c r="J50" s="172" t="s">
        <v>103</v>
      </c>
      <c r="L50" s="33"/>
    </row>
    <row r="51" spans="2:24" s="32" customFormat="1" ht="15" hidden="1" x14ac:dyDescent="0.25">
      <c r="B51" s="31" t="s">
        <v>15</v>
      </c>
      <c r="C51" s="16"/>
      <c r="D51" s="16"/>
      <c r="E51" s="16"/>
      <c r="H51" s="35"/>
      <c r="I51" s="35"/>
      <c r="J51" s="35"/>
      <c r="L51" s="33"/>
    </row>
    <row r="52" spans="2:24" s="16" customFormat="1" ht="5.25" customHeight="1" thickBot="1" x14ac:dyDescent="0.3">
      <c r="B52" s="36"/>
      <c r="C52" s="37"/>
      <c r="D52" s="37"/>
      <c r="E52" s="37"/>
      <c r="F52" s="38"/>
      <c r="G52" s="38"/>
      <c r="H52" s="38"/>
      <c r="I52" s="38"/>
      <c r="J52" s="38"/>
      <c r="K52" s="191"/>
      <c r="L52" s="39"/>
    </row>
    <row r="53" spans="2:24" s="16" customFormat="1" ht="0.6" customHeight="1" thickBot="1" x14ac:dyDescent="0.25">
      <c r="B53" s="40"/>
      <c r="C53" s="40"/>
      <c r="D53" s="40"/>
      <c r="E53" s="40"/>
      <c r="F53" s="41"/>
      <c r="G53" s="41"/>
      <c r="H53" s="41"/>
      <c r="I53" s="41"/>
      <c r="J53" s="41"/>
      <c r="K53" s="41"/>
      <c r="L53" s="40"/>
    </row>
    <row r="54" spans="2:24" s="12" customFormat="1" ht="27" customHeight="1" x14ac:dyDescent="0.35">
      <c r="B54" s="152" t="s">
        <v>16</v>
      </c>
      <c r="C54" s="153"/>
      <c r="D54" s="154"/>
      <c r="E54" s="154"/>
      <c r="F54" s="155"/>
      <c r="G54" s="173">
        <f>SUM(G48:G50)</f>
        <v>-360</v>
      </c>
      <c r="H54" s="173">
        <f t="shared" ref="H54:J54" si="0">SUM(H48:H50)</f>
        <v>0</v>
      </c>
      <c r="I54" s="173">
        <f t="shared" si="0"/>
        <v>600</v>
      </c>
      <c r="J54" s="173">
        <f t="shared" si="0"/>
        <v>1680</v>
      </c>
      <c r="K54" s="156"/>
      <c r="L54" s="145"/>
    </row>
    <row r="55" spans="2:24" s="16" customFormat="1" ht="27" customHeight="1" thickBot="1" x14ac:dyDescent="0.3">
      <c r="B55" s="157"/>
      <c r="C55" s="158" t="s">
        <v>122</v>
      </c>
      <c r="D55" s="158"/>
      <c r="E55" s="158"/>
      <c r="F55" s="159"/>
      <c r="G55" s="159"/>
      <c r="H55" s="159"/>
      <c r="I55" s="159"/>
      <c r="J55" s="159"/>
      <c r="K55" s="146"/>
      <c r="L55" s="147"/>
    </row>
    <row r="56" spans="2:24" s="16" customFormat="1" ht="5.25" customHeight="1" x14ac:dyDescent="0.2">
      <c r="B56" s="120"/>
      <c r="F56" s="42"/>
      <c r="G56" s="42"/>
      <c r="H56" s="42"/>
      <c r="I56" s="42"/>
      <c r="J56" s="42"/>
      <c r="K56" s="42"/>
    </row>
    <row r="57" spans="2:24" s="16" customFormat="1" ht="14.25" x14ac:dyDescent="0.2">
      <c r="B57" s="16" t="s">
        <v>141</v>
      </c>
      <c r="F57" s="42"/>
      <c r="G57" s="42"/>
      <c r="H57" s="42"/>
      <c r="I57" s="42"/>
      <c r="J57" s="42"/>
      <c r="K57" s="42"/>
    </row>
    <row r="58" spans="2:24" s="43" customFormat="1" ht="44.25" customHeight="1" x14ac:dyDescent="0.2">
      <c r="B58" s="201" t="s">
        <v>130</v>
      </c>
      <c r="C58" s="201"/>
      <c r="D58" s="201"/>
      <c r="E58" s="201"/>
      <c r="F58" s="201"/>
      <c r="G58" s="201"/>
      <c r="H58" s="201"/>
      <c r="I58" s="201"/>
      <c r="J58" s="201"/>
      <c r="K58" s="201"/>
      <c r="L58" s="201"/>
    </row>
    <row r="59" spans="2:24" s="43" customFormat="1" ht="62.25" customHeight="1" x14ac:dyDescent="0.2">
      <c r="B59" s="197" t="s">
        <v>132</v>
      </c>
      <c r="C59" s="198"/>
      <c r="D59" s="198"/>
      <c r="E59" s="198"/>
      <c r="F59" s="198"/>
      <c r="G59" s="198"/>
      <c r="H59" s="198"/>
      <c r="I59" s="198"/>
      <c r="J59" s="198"/>
      <c r="K59" s="198"/>
      <c r="L59" s="198"/>
      <c r="O59" s="44"/>
      <c r="P59" s="44"/>
      <c r="Q59" s="44"/>
      <c r="R59" s="44"/>
      <c r="T59" s="44"/>
      <c r="U59" s="44"/>
      <c r="V59" s="44"/>
      <c r="W59" s="44"/>
      <c r="X59" s="44"/>
    </row>
    <row r="60" spans="2:24" s="43" customFormat="1" ht="38.25" customHeight="1" x14ac:dyDescent="0.25">
      <c r="B60" s="200" t="s">
        <v>135</v>
      </c>
      <c r="C60" s="200"/>
      <c r="D60" s="200"/>
      <c r="E60" s="200"/>
      <c r="F60" s="200"/>
      <c r="G60" s="200"/>
      <c r="H60" s="200"/>
      <c r="I60" s="200"/>
      <c r="J60" s="200"/>
      <c r="K60" s="200"/>
      <c r="L60" s="200"/>
      <c r="O60" s="44"/>
      <c r="P60" s="44"/>
      <c r="Q60" s="44"/>
      <c r="R60" s="44"/>
      <c r="T60" s="44"/>
      <c r="U60" s="44"/>
      <c r="V60" s="44"/>
      <c r="W60" s="44"/>
      <c r="X60" s="44"/>
    </row>
    <row r="61" spans="2:24" s="43" customFormat="1" ht="15" customHeight="1" x14ac:dyDescent="0.2">
      <c r="B61" s="2"/>
      <c r="C61" s="2"/>
      <c r="D61" s="2"/>
      <c r="E61" s="2"/>
      <c r="O61" s="44"/>
      <c r="P61" s="44"/>
      <c r="Q61" s="44"/>
      <c r="R61" s="44"/>
      <c r="T61" s="44"/>
      <c r="U61" s="44"/>
      <c r="V61" s="44"/>
      <c r="W61" s="44"/>
      <c r="X61" s="44"/>
    </row>
    <row r="62" spans="2:24" ht="15" customHeight="1" x14ac:dyDescent="0.2">
      <c r="B62" s="2"/>
      <c r="C62" s="2"/>
      <c r="D62" s="2"/>
      <c r="E62" s="2"/>
    </row>
  </sheetData>
  <sheetProtection selectLockedCells="1"/>
  <mergeCells count="23">
    <mergeCell ref="B1:L1"/>
    <mergeCell ref="B59:L59"/>
    <mergeCell ref="B2:L2"/>
    <mergeCell ref="B60:L60"/>
    <mergeCell ref="B58:L58"/>
    <mergeCell ref="B14:L14"/>
    <mergeCell ref="G38:L42"/>
    <mergeCell ref="B11:E12"/>
    <mergeCell ref="J11:L11"/>
    <mergeCell ref="G33:H33"/>
    <mergeCell ref="J3:L3"/>
    <mergeCell ref="F5:I5"/>
    <mergeCell ref="G31:H31"/>
    <mergeCell ref="G25:H25"/>
    <mergeCell ref="G10:H10"/>
    <mergeCell ref="G29:H29"/>
    <mergeCell ref="G27:H27"/>
    <mergeCell ref="G17:H17"/>
    <mergeCell ref="G16:H16"/>
    <mergeCell ref="G11:H11"/>
    <mergeCell ref="G23:H23"/>
    <mergeCell ref="G19:H19"/>
    <mergeCell ref="G21:H21"/>
  </mergeCells>
  <phoneticPr fontId="2" type="noConversion"/>
  <dataValidations count="5">
    <dataValidation showInputMessage="1" showErrorMessage="1" sqref="E39:E41 G38" xr:uid="{00000000-0002-0000-0000-000000000000}"/>
    <dataValidation type="list" showInputMessage="1" showErrorMessage="1" sqref="F11 F21 F31 F17 F19 F33 F25 F27 F29 F23" xr:uid="{00000000-0002-0000-0000-000001000000}">
      <formula1>Network_Choice</formula1>
    </dataValidation>
    <dataValidation type="list" allowBlank="1" showInputMessage="1" showErrorMessage="1" sqref="G17 I17" xr:uid="{00000000-0002-0000-0000-000002000000}">
      <formula1>EE_Phys</formula1>
    </dataValidation>
    <dataValidation type="list" allowBlank="1" showInputMessage="1" showErrorMessage="1" sqref="J17 I33:J33 G33 G31 G29 G27 G25 G23 G21 G19 I19:J19 I21:J21 I23:J23 I25:J25 I27:J27 I29:J29 I31:J31" xr:uid="{00000000-0002-0000-0000-000003000000}">
      <formula1>Visits</formula1>
    </dataValidation>
    <dataValidation type="list" allowBlank="1" showInputMessage="1" showErrorMessage="1" sqref="F5:I5" xr:uid="{00000000-0002-0000-0000-000004000000}">
      <formula1>Coverage</formula1>
    </dataValidation>
  </dataValidations>
  <printOptions horizontalCentered="1"/>
  <pageMargins left="0.22" right="0.67" top="0.68" bottom="0.25" header="0.19" footer="0.26"/>
  <pageSetup scale="63" orientation="landscape" r:id="rId1"/>
  <headerFooter alignWithMargins="0"/>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H243"/>
  <sheetViews>
    <sheetView zoomScale="75" workbookViewId="0">
      <pane xSplit="2" ySplit="7" topLeftCell="C8" activePane="bottomRight" state="frozen"/>
      <selection activeCell="K166" sqref="K166"/>
      <selection pane="topRight" activeCell="K166" sqref="K166"/>
      <selection pane="bottomLeft" activeCell="K166" sqref="K166"/>
      <selection pane="bottomRight" activeCell="G14" sqref="G14"/>
    </sheetView>
  </sheetViews>
  <sheetFormatPr defaultRowHeight="12.75" x14ac:dyDescent="0.2"/>
  <cols>
    <col min="1" max="1" width="15.5703125" customWidth="1"/>
    <col min="2" max="2" width="33.42578125" bestFit="1" customWidth="1"/>
    <col min="3" max="4" width="10.42578125" customWidth="1"/>
    <col min="5" max="5" width="15.42578125" customWidth="1"/>
    <col min="6" max="6" width="11.5703125" customWidth="1"/>
    <col min="7" max="7" width="10.85546875" customWidth="1"/>
    <col min="8" max="8" width="9.85546875" customWidth="1"/>
    <col min="10" max="10" width="9.85546875" bestFit="1" customWidth="1"/>
    <col min="12" max="12" width="10.5703125" bestFit="1" customWidth="1"/>
    <col min="22" max="22" width="10" bestFit="1" customWidth="1"/>
    <col min="23" max="23" width="10" customWidth="1"/>
    <col min="31" max="31" width="11" bestFit="1" customWidth="1"/>
  </cols>
  <sheetData>
    <row r="1" spans="1:34" ht="20.25" customHeight="1" x14ac:dyDescent="0.2">
      <c r="B1" s="219">
        <v>1.1000000000000001</v>
      </c>
      <c r="C1" s="218" t="s">
        <v>17</v>
      </c>
      <c r="D1" s="218"/>
      <c r="E1" s="218"/>
      <c r="F1" s="218"/>
      <c r="G1" s="218"/>
      <c r="H1" s="218"/>
      <c r="I1" s="218"/>
      <c r="J1" s="218"/>
      <c r="K1" s="218"/>
      <c r="Q1" s="45"/>
      <c r="R1" s="45"/>
      <c r="S1" s="45"/>
    </row>
    <row r="2" spans="1:34" ht="12.75" customHeight="1" x14ac:dyDescent="0.2">
      <c r="B2" s="219"/>
      <c r="C2" s="218"/>
      <c r="D2" s="218"/>
      <c r="E2" s="218"/>
      <c r="F2" s="218"/>
      <c r="G2" s="218"/>
      <c r="H2" s="218"/>
      <c r="I2" s="218"/>
      <c r="J2" s="218"/>
      <c r="K2" s="218"/>
      <c r="P2" s="217" t="s">
        <v>111</v>
      </c>
      <c r="Q2" s="217"/>
      <c r="R2" s="217"/>
      <c r="S2" s="217"/>
      <c r="T2" s="214">
        <f>VLOOKUP('Plan Comparison Calculator'!$F5,'Plan Defn'!$A36:$H41,7,FALSE)</f>
        <v>0</v>
      </c>
      <c r="AA2" s="217" t="s">
        <v>111</v>
      </c>
      <c r="AB2" s="217"/>
      <c r="AC2" s="217"/>
      <c r="AD2" s="217"/>
      <c r="AE2" s="214">
        <f>IF(AND('Plan Comparison Calculator'!G11=FALSE,'Plan Comparison Calculator'!I11=FALSE),VLOOKUP('Plan Comparison Calculator'!$F5,'Plan Defn'!$A36:$H41,8,FALSE),1)</f>
        <v>0</v>
      </c>
    </row>
    <row r="3" spans="1:34" x14ac:dyDescent="0.2">
      <c r="C3" s="1"/>
      <c r="D3" s="1"/>
      <c r="E3" s="1"/>
      <c r="F3" s="1"/>
      <c r="G3" s="1"/>
      <c r="H3" s="1"/>
      <c r="I3" s="1"/>
      <c r="J3" s="1"/>
      <c r="K3" s="1"/>
      <c r="L3" s="1"/>
      <c r="M3" s="47"/>
      <c r="P3" s="217"/>
      <c r="Q3" s="217"/>
      <c r="R3" s="217"/>
      <c r="S3" s="217"/>
      <c r="T3" s="214"/>
      <c r="X3" s="47"/>
      <c r="AA3" s="217"/>
      <c r="AB3" s="217"/>
      <c r="AC3" s="217"/>
      <c r="AD3" s="217"/>
      <c r="AE3" s="214"/>
    </row>
    <row r="4" spans="1:34" ht="15.75" x14ac:dyDescent="0.25">
      <c r="B4" s="48"/>
      <c r="C4" s="215" t="s">
        <v>3</v>
      </c>
      <c r="D4" s="215"/>
      <c r="E4" s="215"/>
      <c r="F4" s="215"/>
      <c r="G4" s="215"/>
      <c r="H4" s="215"/>
      <c r="I4" s="215"/>
      <c r="J4" s="215"/>
      <c r="K4" s="215"/>
      <c r="L4" s="49"/>
      <c r="M4" s="50"/>
      <c r="N4" s="215" t="s">
        <v>4</v>
      </c>
      <c r="O4" s="215"/>
      <c r="P4" s="215"/>
      <c r="Q4" s="215"/>
      <c r="R4" s="215"/>
      <c r="S4" s="215"/>
      <c r="T4" s="215"/>
      <c r="U4" s="215"/>
      <c r="V4" s="215"/>
      <c r="W4" s="49"/>
      <c r="X4" s="50"/>
      <c r="Y4" s="215" t="s">
        <v>7</v>
      </c>
      <c r="Z4" s="215"/>
      <c r="AA4" s="215"/>
      <c r="AB4" s="215"/>
      <c r="AC4" s="215"/>
      <c r="AD4" s="215"/>
      <c r="AE4" s="215"/>
      <c r="AF4" s="215"/>
      <c r="AG4" s="215"/>
      <c r="AH4" s="215"/>
    </row>
    <row r="5" spans="1:34" ht="15.75" x14ac:dyDescent="0.25">
      <c r="B5" s="48"/>
      <c r="C5" s="214" t="s">
        <v>18</v>
      </c>
      <c r="D5" s="214"/>
      <c r="E5" s="214" t="s">
        <v>19</v>
      </c>
      <c r="F5" s="214"/>
      <c r="G5" s="216" t="s">
        <v>20</v>
      </c>
      <c r="H5" s="216"/>
      <c r="I5" s="214" t="s">
        <v>21</v>
      </c>
      <c r="J5" s="214"/>
      <c r="K5" s="214" t="s">
        <v>22</v>
      </c>
      <c r="L5" s="214"/>
      <c r="M5" s="50"/>
      <c r="N5" s="214" t="s">
        <v>18</v>
      </c>
      <c r="O5" s="214"/>
      <c r="P5" s="214" t="s">
        <v>19</v>
      </c>
      <c r="Q5" s="214"/>
      <c r="R5" s="216" t="s">
        <v>20</v>
      </c>
      <c r="S5" s="216"/>
      <c r="T5" s="214" t="s">
        <v>21</v>
      </c>
      <c r="U5" s="214"/>
      <c r="V5" s="214" t="s">
        <v>22</v>
      </c>
      <c r="W5" s="214"/>
      <c r="X5" s="50"/>
      <c r="Y5" s="214" t="s">
        <v>18</v>
      </c>
      <c r="Z5" s="214"/>
      <c r="AA5" s="214" t="s">
        <v>19</v>
      </c>
      <c r="AB5" s="214"/>
      <c r="AC5" s="216" t="s">
        <v>20</v>
      </c>
      <c r="AD5" s="216"/>
      <c r="AE5" s="214" t="s">
        <v>21</v>
      </c>
      <c r="AF5" s="214"/>
      <c r="AG5" s="214" t="s">
        <v>22</v>
      </c>
      <c r="AH5" s="214"/>
    </row>
    <row r="6" spans="1:34" ht="14.25" x14ac:dyDescent="0.2">
      <c r="B6" s="51"/>
      <c r="C6" s="212" t="s">
        <v>23</v>
      </c>
      <c r="D6" s="212"/>
      <c r="E6" s="212" t="s">
        <v>23</v>
      </c>
      <c r="F6" s="212"/>
      <c r="G6" s="212" t="s">
        <v>23</v>
      </c>
      <c r="H6" s="212"/>
      <c r="I6" s="212" t="s">
        <v>23</v>
      </c>
      <c r="J6" s="212"/>
      <c r="K6" s="212" t="s">
        <v>23</v>
      </c>
      <c r="L6" s="212"/>
      <c r="M6" s="52"/>
      <c r="N6" s="212" t="s">
        <v>23</v>
      </c>
      <c r="O6" s="212"/>
      <c r="P6" s="212" t="s">
        <v>23</v>
      </c>
      <c r="Q6" s="212"/>
      <c r="R6" s="212" t="s">
        <v>23</v>
      </c>
      <c r="S6" s="212"/>
      <c r="T6" s="212" t="s">
        <v>23</v>
      </c>
      <c r="U6" s="212"/>
      <c r="V6" s="212" t="s">
        <v>23</v>
      </c>
      <c r="W6" s="212"/>
      <c r="X6" s="52"/>
      <c r="Y6" s="212" t="s">
        <v>23</v>
      </c>
      <c r="Z6" s="212"/>
      <c r="AA6" s="212" t="s">
        <v>23</v>
      </c>
      <c r="AB6" s="212"/>
      <c r="AC6" s="212" t="s">
        <v>23</v>
      </c>
      <c r="AD6" s="212"/>
      <c r="AE6" s="212" t="s">
        <v>23</v>
      </c>
      <c r="AF6" s="212"/>
      <c r="AG6" s="212" t="s">
        <v>23</v>
      </c>
      <c r="AH6" s="212"/>
    </row>
    <row r="7" spans="1:34" ht="14.25" x14ac:dyDescent="0.2">
      <c r="B7" s="51"/>
      <c r="C7" s="19" t="s">
        <v>24</v>
      </c>
      <c r="D7" s="19" t="s">
        <v>25</v>
      </c>
      <c r="E7" s="19" t="s">
        <v>24</v>
      </c>
      <c r="F7" s="19" t="s">
        <v>25</v>
      </c>
      <c r="G7" s="19" t="s">
        <v>24</v>
      </c>
      <c r="H7" s="19" t="s">
        <v>25</v>
      </c>
      <c r="I7" s="19" t="s">
        <v>24</v>
      </c>
      <c r="J7" s="19" t="s">
        <v>25</v>
      </c>
      <c r="K7" s="19" t="s">
        <v>24</v>
      </c>
      <c r="L7" s="19" t="s">
        <v>25</v>
      </c>
      <c r="M7" s="52"/>
      <c r="N7" s="19" t="s">
        <v>24</v>
      </c>
      <c r="O7" s="19" t="s">
        <v>25</v>
      </c>
      <c r="P7" s="19" t="s">
        <v>24</v>
      </c>
      <c r="Q7" s="19" t="s">
        <v>25</v>
      </c>
      <c r="R7" s="19" t="s">
        <v>24</v>
      </c>
      <c r="S7" s="19" t="s">
        <v>25</v>
      </c>
      <c r="T7" s="19" t="s">
        <v>24</v>
      </c>
      <c r="U7" s="19" t="s">
        <v>25</v>
      </c>
      <c r="V7" s="19" t="s">
        <v>24</v>
      </c>
      <c r="W7" s="19" t="s">
        <v>25</v>
      </c>
      <c r="X7" s="52"/>
      <c r="Y7" s="19" t="s">
        <v>24</v>
      </c>
      <c r="Z7" s="19" t="s">
        <v>25</v>
      </c>
      <c r="AA7" s="19" t="s">
        <v>24</v>
      </c>
      <c r="AB7" s="19" t="s">
        <v>25</v>
      </c>
      <c r="AC7" s="19" t="s">
        <v>24</v>
      </c>
      <c r="AD7" s="19" t="s">
        <v>25</v>
      </c>
      <c r="AE7" s="19" t="s">
        <v>24</v>
      </c>
      <c r="AF7" s="19" t="s">
        <v>25</v>
      </c>
      <c r="AG7" s="19" t="s">
        <v>24</v>
      </c>
      <c r="AH7" s="19" t="s">
        <v>25</v>
      </c>
    </row>
    <row r="8" spans="1:34" ht="15" x14ac:dyDescent="0.25">
      <c r="B8" s="53" t="s">
        <v>26</v>
      </c>
      <c r="C8" s="54">
        <f>IF('Plan Comparison Calculator'!$G$11=FALSE,0,3*P1_In_Ov+P1_In_Maternity_IP_Copay)</f>
        <v>0</v>
      </c>
      <c r="D8" s="55"/>
      <c r="E8" s="54">
        <f>IF('Plan Comparison Calculator'!$G$11=FALSE,0,Maternity_Office)</f>
        <v>0</v>
      </c>
      <c r="F8" s="55"/>
      <c r="G8" s="54">
        <f>IF('Plan Comparison Calculator'!$G$11=FALSE,0,Maternity_XrayLab)</f>
        <v>0</v>
      </c>
      <c r="H8" s="55"/>
      <c r="I8" s="54">
        <f>IF('Plan Comparison Calculator'!$G$11=FALSE,0,Maternity_Facility)</f>
        <v>0</v>
      </c>
      <c r="J8" s="55"/>
      <c r="K8" s="54">
        <f>IF('Plan Comparison Calculator'!$G$11=FALSE,0,Maternity_Physician)</f>
        <v>0</v>
      </c>
      <c r="L8" s="55"/>
      <c r="M8" s="52"/>
      <c r="N8" s="54">
        <f>IF('Plan Comparison Calculator'!$I$11=FALSE,0,3*P1_In_Ov+P1_In_Maternity_IP_Copay)</f>
        <v>0</v>
      </c>
      <c r="O8" s="55"/>
      <c r="P8" s="54">
        <f>IF('Plan Comparison Calculator'!$I$11=FALSE,0,Maternity_Office)</f>
        <v>0</v>
      </c>
      <c r="Q8" s="55"/>
      <c r="R8" s="54">
        <f>IF('Plan Comparison Calculator'!$I$11=FALSE,0,Maternity_XrayLab)</f>
        <v>0</v>
      </c>
      <c r="S8" s="55"/>
      <c r="T8" s="54">
        <f>IF('Plan Comparison Calculator'!$I$11=FALSE,0,Maternity_Facility)</f>
        <v>0</v>
      </c>
      <c r="U8" s="55"/>
      <c r="V8" s="54">
        <f>IF('Plan Comparison Calculator'!$I$11=FALSE,0,Maternity_Physician)</f>
        <v>0</v>
      </c>
      <c r="W8" s="55"/>
      <c r="X8" s="52"/>
      <c r="Y8" s="54"/>
      <c r="Z8" s="55"/>
      <c r="AA8" s="54"/>
      <c r="AB8" s="55"/>
      <c r="AC8" s="54"/>
      <c r="AD8" s="55"/>
      <c r="AE8" s="54">
        <f>IF(AND('Plan Comparison Calculator'!$G$11=FALSE,'Plan Comparison Calculator'!$I$11=FALSE),0,Baby_Facility)</f>
        <v>0</v>
      </c>
      <c r="AF8" s="55"/>
      <c r="AG8" s="54">
        <f>IF(AND('Plan Comparison Calculator'!$G$11=FALSE,'Plan Comparison Calculator'!$I$11=FALSE),0,Baby_Physician)</f>
        <v>0</v>
      </c>
      <c r="AH8" s="55"/>
    </row>
    <row r="9" spans="1:34" ht="15" x14ac:dyDescent="0.25">
      <c r="B9" s="53"/>
      <c r="C9" s="54"/>
      <c r="D9" s="55"/>
      <c r="E9" s="54"/>
      <c r="F9" s="55"/>
      <c r="G9" s="54"/>
      <c r="H9" s="55"/>
      <c r="I9" s="54"/>
      <c r="J9" s="55"/>
      <c r="K9" s="54"/>
      <c r="L9" s="55"/>
      <c r="M9" s="52"/>
      <c r="N9" s="54"/>
      <c r="O9" s="55"/>
      <c r="P9" s="54"/>
      <c r="Q9" s="55"/>
      <c r="R9" s="54"/>
      <c r="S9" s="55"/>
      <c r="T9" s="54"/>
      <c r="U9" s="55"/>
      <c r="V9" s="54"/>
      <c r="W9" s="55"/>
      <c r="X9" s="52"/>
      <c r="Y9" s="54"/>
      <c r="Z9" s="55"/>
      <c r="AA9" s="54"/>
      <c r="AB9" s="55"/>
      <c r="AC9" s="54"/>
      <c r="AD9" s="55"/>
      <c r="AE9" s="54"/>
      <c r="AF9" s="55"/>
      <c r="AG9" s="54"/>
      <c r="AH9" s="55"/>
    </row>
    <row r="10" spans="1:34" ht="15" customHeight="1" x14ac:dyDescent="0.25">
      <c r="A10" s="213" t="str">
        <f>P1_Plan</f>
        <v>HSA HMO</v>
      </c>
      <c r="B10" s="53"/>
      <c r="C10" s="54"/>
      <c r="D10" s="55"/>
      <c r="E10" s="54"/>
      <c r="F10" s="55"/>
      <c r="G10" s="54"/>
      <c r="H10" s="55"/>
      <c r="I10" s="54"/>
      <c r="J10" s="55"/>
      <c r="K10" s="54"/>
      <c r="L10" s="55"/>
      <c r="M10" s="52"/>
      <c r="N10" s="54"/>
      <c r="O10" s="55"/>
      <c r="P10" s="54"/>
      <c r="Q10" s="55"/>
      <c r="R10" s="54"/>
      <c r="S10" s="55"/>
      <c r="T10" s="54"/>
      <c r="U10" s="55"/>
      <c r="V10" s="54"/>
      <c r="W10" s="55"/>
      <c r="X10" s="52"/>
      <c r="Y10" s="54"/>
      <c r="Z10" s="55"/>
      <c r="AA10" s="54"/>
      <c r="AB10" s="55"/>
      <c r="AC10" s="54"/>
      <c r="AD10" s="55"/>
      <c r="AE10" s="54"/>
      <c r="AF10" s="55"/>
      <c r="AG10" s="54"/>
      <c r="AH10" s="55"/>
    </row>
    <row r="11" spans="1:34" ht="15" x14ac:dyDescent="0.25">
      <c r="A11" s="213"/>
      <c r="B11" s="53"/>
      <c r="C11" s="54"/>
      <c r="D11" s="55"/>
      <c r="E11" s="54"/>
      <c r="F11" s="55"/>
      <c r="G11" s="54"/>
      <c r="H11" s="55"/>
      <c r="I11" s="54"/>
      <c r="J11" s="55"/>
      <c r="K11" s="54"/>
      <c r="L11" s="55"/>
      <c r="M11" s="52"/>
      <c r="N11" s="54"/>
      <c r="O11" s="55"/>
      <c r="P11" s="54"/>
      <c r="Q11" s="55"/>
      <c r="R11" s="54"/>
      <c r="S11" s="55"/>
      <c r="T11" s="54"/>
      <c r="U11" s="55"/>
      <c r="V11" s="54"/>
      <c r="W11" s="55"/>
      <c r="X11" s="52"/>
      <c r="Y11" s="54"/>
      <c r="Z11" s="55"/>
      <c r="AA11" s="54"/>
      <c r="AB11" s="55"/>
      <c r="AC11" s="54"/>
      <c r="AD11" s="55"/>
      <c r="AE11" s="54"/>
      <c r="AF11" s="55"/>
      <c r="AG11" s="54"/>
      <c r="AH11" s="55"/>
    </row>
    <row r="12" spans="1:34" ht="15" x14ac:dyDescent="0.25">
      <c r="A12" s="213"/>
      <c r="B12" s="53"/>
      <c r="C12" s="54"/>
      <c r="D12" s="55"/>
      <c r="E12" s="54"/>
      <c r="F12" s="55"/>
      <c r="G12" s="54"/>
      <c r="H12" s="55"/>
      <c r="I12" s="54"/>
      <c r="J12" s="55"/>
      <c r="K12" s="54"/>
      <c r="L12" s="55"/>
      <c r="M12" s="52"/>
      <c r="N12" s="54"/>
      <c r="O12" s="55"/>
      <c r="P12" s="54"/>
      <c r="Q12" s="55"/>
      <c r="R12" s="54"/>
      <c r="S12" s="55"/>
      <c r="T12" s="54"/>
      <c r="U12" s="55"/>
      <c r="V12" s="54"/>
      <c r="W12" s="55"/>
      <c r="X12" s="52"/>
      <c r="Y12" s="54"/>
      <c r="Z12" s="55"/>
      <c r="AA12" s="54"/>
      <c r="AB12" s="55"/>
      <c r="AC12" s="54"/>
      <c r="AD12" s="55"/>
      <c r="AE12" s="54"/>
      <c r="AF12" s="55"/>
      <c r="AG12" s="54"/>
      <c r="AH12" s="55"/>
    </row>
    <row r="13" spans="1:34" ht="15" x14ac:dyDescent="0.25">
      <c r="A13" s="213"/>
      <c r="B13" s="53"/>
      <c r="C13" s="54"/>
      <c r="D13" s="55"/>
      <c r="E13" s="54"/>
      <c r="F13" s="55"/>
      <c r="G13" s="54"/>
      <c r="H13" s="55"/>
      <c r="I13" s="54"/>
      <c r="J13" s="55"/>
      <c r="K13" s="54"/>
      <c r="L13" s="55"/>
      <c r="M13" s="52"/>
      <c r="N13" s="54"/>
      <c r="O13" s="55"/>
      <c r="P13" s="54"/>
      <c r="Q13" s="55"/>
      <c r="R13" s="54"/>
      <c r="S13" s="55"/>
      <c r="T13" s="54"/>
      <c r="U13" s="55"/>
      <c r="V13" s="54"/>
      <c r="W13" s="55"/>
      <c r="X13" s="52"/>
      <c r="Y13" s="54"/>
      <c r="Z13" s="55"/>
      <c r="AA13" s="54"/>
      <c r="AB13" s="55"/>
      <c r="AC13" s="54"/>
      <c r="AD13" s="55"/>
      <c r="AE13" s="54"/>
      <c r="AF13" s="55"/>
      <c r="AG13" s="54"/>
      <c r="AH13" s="55"/>
    </row>
    <row r="14" spans="1:34" ht="15" x14ac:dyDescent="0.25">
      <c r="A14" s="213"/>
      <c r="B14" s="53" t="s">
        <v>27</v>
      </c>
      <c r="C14" s="54">
        <f>'Plan Comparison Calculator'!$G$17*P1_In_Ov*0</f>
        <v>0</v>
      </c>
      <c r="D14" s="55"/>
      <c r="E14" s="54">
        <f>'Plan Comparison Calculator'!$G$17*Physical_Office-C14</f>
        <v>0</v>
      </c>
      <c r="F14" s="55"/>
      <c r="G14" s="54">
        <f>'Plan Comparison Calculator'!$G$17*Physical_XrayLab</f>
        <v>0</v>
      </c>
      <c r="H14" s="55"/>
      <c r="I14" s="54"/>
      <c r="J14" s="55"/>
      <c r="K14" s="54"/>
      <c r="L14" s="55"/>
      <c r="M14" s="52"/>
      <c r="N14" s="54">
        <f>'Plan Comparison Calculator'!$I$17*P1_In_Ov*0</f>
        <v>0</v>
      </c>
      <c r="O14" s="55"/>
      <c r="P14" s="54">
        <f>'Plan Comparison Calculator'!$I$17*Physical_Office-N14</f>
        <v>0</v>
      </c>
      <c r="Q14" s="55"/>
      <c r="R14" s="54">
        <f>'Plan Comparison Calculator'!$I$17*Physical_XrayLab</f>
        <v>0</v>
      </c>
      <c r="S14" s="55"/>
      <c r="T14" s="54"/>
      <c r="U14" s="55"/>
      <c r="V14" s="54"/>
      <c r="W14" s="55"/>
      <c r="X14" s="52"/>
      <c r="Y14" s="54">
        <f>'Plan Comparison Calculator'!$J$17*P1_In_Ov*0</f>
        <v>0</v>
      </c>
      <c r="Z14" s="55"/>
      <c r="AA14" s="54">
        <f>'Plan Comparison Calculator'!$J$17*Physical_Office-Y14</f>
        <v>0</v>
      </c>
      <c r="AB14" s="55"/>
      <c r="AC14" s="54">
        <f>'Plan Comparison Calculator'!$J$17*Physical_XrayLab</f>
        <v>0</v>
      </c>
      <c r="AD14" s="55"/>
      <c r="AE14" s="54"/>
      <c r="AF14" s="55"/>
      <c r="AG14" s="54"/>
      <c r="AH14" s="55"/>
    </row>
    <row r="15" spans="1:34" ht="15" x14ac:dyDescent="0.25">
      <c r="A15" s="213"/>
      <c r="B15" s="53"/>
      <c r="C15" s="54"/>
      <c r="D15" s="55"/>
      <c r="E15" s="54"/>
      <c r="F15" s="55"/>
      <c r="G15" s="54"/>
      <c r="H15" s="55"/>
      <c r="I15" s="54"/>
      <c r="J15" s="55"/>
      <c r="K15" s="54"/>
      <c r="L15" s="55"/>
      <c r="M15" s="52"/>
      <c r="N15" s="54"/>
      <c r="O15" s="55"/>
      <c r="P15" s="54"/>
      <c r="Q15" s="55"/>
      <c r="R15" s="54"/>
      <c r="S15" s="55"/>
      <c r="T15" s="54"/>
      <c r="U15" s="55"/>
      <c r="V15" s="54"/>
      <c r="W15" s="55"/>
      <c r="X15" s="52"/>
      <c r="Y15" s="54"/>
      <c r="Z15" s="55"/>
      <c r="AA15" s="54"/>
      <c r="AB15" s="55"/>
      <c r="AC15" s="54"/>
      <c r="AD15" s="55"/>
      <c r="AE15" s="54"/>
      <c r="AF15" s="55"/>
      <c r="AG15" s="54"/>
      <c r="AH15" s="55"/>
    </row>
    <row r="16" spans="1:34" ht="15" x14ac:dyDescent="0.25">
      <c r="A16" s="213"/>
      <c r="B16" s="53" t="s">
        <v>28</v>
      </c>
      <c r="C16" s="54">
        <f>'Plan Comparison Calculator'!$G$19*P1_In_Ov</f>
        <v>0</v>
      </c>
      <c r="D16" s="55"/>
      <c r="E16" s="54">
        <f>'Plan Comparison Calculator'!$G$19*Primary_Office-C16</f>
        <v>0</v>
      </c>
      <c r="F16" s="55"/>
      <c r="G16" s="54">
        <f>'Plan Comparison Calculator'!$G$19*Primary_XrayLab</f>
        <v>0</v>
      </c>
      <c r="H16" s="55"/>
      <c r="I16" s="54"/>
      <c r="J16" s="55"/>
      <c r="K16" s="54"/>
      <c r="L16" s="55"/>
      <c r="M16" s="52"/>
      <c r="N16" s="54">
        <f>'Plan Comparison Calculator'!$I$19*P1_In_Ov</f>
        <v>0</v>
      </c>
      <c r="O16" s="55"/>
      <c r="P16" s="54">
        <f>'Plan Comparison Calculator'!$I$19*Primary_Office-N16</f>
        <v>0</v>
      </c>
      <c r="Q16" s="55"/>
      <c r="R16" s="54">
        <f>'Plan Comparison Calculator'!$I$19*Primary_XrayLab</f>
        <v>0</v>
      </c>
      <c r="S16" s="55"/>
      <c r="T16" s="54"/>
      <c r="U16" s="55"/>
      <c r="V16" s="54"/>
      <c r="W16" s="55"/>
      <c r="X16" s="52"/>
      <c r="Y16" s="54">
        <f>'Plan Comparison Calculator'!$J$19*P1_In_Ov</f>
        <v>0</v>
      </c>
      <c r="Z16" s="55"/>
      <c r="AA16" s="54">
        <f>'Plan Comparison Calculator'!$J$19*Primary_Office-Y16</f>
        <v>0</v>
      </c>
      <c r="AB16" s="55"/>
      <c r="AC16" s="54">
        <f>'Plan Comparison Calculator'!$J$19*Primary_XrayLab</f>
        <v>0</v>
      </c>
      <c r="AD16" s="55"/>
      <c r="AE16" s="54"/>
      <c r="AF16" s="55"/>
      <c r="AG16" s="54"/>
      <c r="AH16" s="55"/>
    </row>
    <row r="17" spans="1:34" ht="15" x14ac:dyDescent="0.25">
      <c r="A17" s="213"/>
      <c r="B17" s="53"/>
      <c r="C17" s="54"/>
      <c r="D17" s="55"/>
      <c r="E17" s="54"/>
      <c r="F17" s="55"/>
      <c r="G17" s="54"/>
      <c r="H17" s="55"/>
      <c r="I17" s="54"/>
      <c r="J17" s="55"/>
      <c r="K17" s="54"/>
      <c r="L17" s="55"/>
      <c r="M17" s="52"/>
      <c r="N17" s="54"/>
      <c r="O17" s="55"/>
      <c r="P17" s="54"/>
      <c r="Q17" s="55"/>
      <c r="R17" s="54"/>
      <c r="S17" s="55"/>
      <c r="T17" s="54"/>
      <c r="U17" s="55"/>
      <c r="V17" s="54"/>
      <c r="W17" s="55"/>
      <c r="X17" s="52"/>
      <c r="Y17" s="54"/>
      <c r="Z17" s="55"/>
      <c r="AA17" s="54"/>
      <c r="AB17" s="55"/>
      <c r="AC17" s="54"/>
      <c r="AD17" s="55"/>
      <c r="AE17" s="54"/>
      <c r="AF17" s="55"/>
      <c r="AG17" s="54"/>
      <c r="AH17" s="55"/>
    </row>
    <row r="18" spans="1:34" ht="15" x14ac:dyDescent="0.25">
      <c r="A18" s="213"/>
      <c r="B18" s="53" t="s">
        <v>29</v>
      </c>
      <c r="C18" s="54">
        <f>'Plan Comparison Calculator'!$G$21*P1_In_Ov</f>
        <v>0</v>
      </c>
      <c r="D18" s="55"/>
      <c r="E18" s="54">
        <f>Specialist_Office*'Plan Comparison Calculator'!$G$21-C18</f>
        <v>0</v>
      </c>
      <c r="F18" s="55"/>
      <c r="G18" s="54">
        <f>Specialist_XrayLab*'Plan Comparison Calculator'!$G$21</f>
        <v>0</v>
      </c>
      <c r="H18" s="55"/>
      <c r="I18" s="54"/>
      <c r="J18" s="55"/>
      <c r="K18" s="54"/>
      <c r="L18" s="55"/>
      <c r="M18" s="52"/>
      <c r="N18" s="54">
        <f>'Plan Comparison Calculator'!$I$21*P1_In_Ov</f>
        <v>0</v>
      </c>
      <c r="O18" s="55"/>
      <c r="P18" s="54">
        <f>Specialist_Office*'Plan Comparison Calculator'!$I$21-N18</f>
        <v>0</v>
      </c>
      <c r="Q18" s="55"/>
      <c r="R18" s="54">
        <f>Specialist_XrayLab*'Plan Comparison Calculator'!$I$21</f>
        <v>0</v>
      </c>
      <c r="S18" s="55"/>
      <c r="T18" s="54"/>
      <c r="U18" s="55"/>
      <c r="V18" s="54"/>
      <c r="W18" s="55"/>
      <c r="X18" s="52"/>
      <c r="Y18" s="54">
        <f>'Plan Comparison Calculator'!$J$21*P1_In_Ov</f>
        <v>0</v>
      </c>
      <c r="Z18" s="55"/>
      <c r="AA18" s="54">
        <f>Specialist_Office*'Plan Comparison Calculator'!$J$21-Y18</f>
        <v>0</v>
      </c>
      <c r="AB18" s="55"/>
      <c r="AC18" s="54">
        <f>Specialist_XrayLab*'Plan Comparison Calculator'!$J$21</f>
        <v>0</v>
      </c>
      <c r="AD18" s="55"/>
      <c r="AE18" s="54"/>
      <c r="AF18" s="55"/>
      <c r="AG18" s="54"/>
      <c r="AH18" s="55"/>
    </row>
    <row r="19" spans="1:34" ht="15" x14ac:dyDescent="0.25">
      <c r="A19" s="213"/>
      <c r="B19" s="53"/>
      <c r="C19" s="54"/>
      <c r="D19" s="55"/>
      <c r="E19" s="54"/>
      <c r="F19" s="55"/>
      <c r="G19" s="54"/>
      <c r="H19" s="55"/>
      <c r="I19" s="54"/>
      <c r="J19" s="55"/>
      <c r="K19" s="54"/>
      <c r="L19" s="55"/>
      <c r="M19" s="52"/>
      <c r="N19" s="54"/>
      <c r="O19" s="55"/>
      <c r="P19" s="54"/>
      <c r="Q19" s="55"/>
      <c r="R19" s="54"/>
      <c r="S19" s="55"/>
      <c r="T19" s="54"/>
      <c r="U19" s="55"/>
      <c r="V19" s="54"/>
      <c r="W19" s="55"/>
      <c r="X19" s="52"/>
      <c r="Y19" s="54"/>
      <c r="Z19" s="55"/>
      <c r="AA19" s="54"/>
      <c r="AB19" s="55"/>
      <c r="AC19" s="54"/>
      <c r="AD19" s="55"/>
      <c r="AE19" s="54"/>
      <c r="AF19" s="55"/>
      <c r="AG19" s="54"/>
      <c r="AH19" s="55"/>
    </row>
    <row r="20" spans="1:34" ht="15" x14ac:dyDescent="0.25">
      <c r="A20" s="213"/>
      <c r="B20" s="53" t="s">
        <v>30</v>
      </c>
      <c r="C20" s="54">
        <f>'Plan Comparison Calculator'!$G$23*P1_In_ER</f>
        <v>0</v>
      </c>
      <c r="D20" s="55"/>
      <c r="E20" s="54"/>
      <c r="F20" s="55"/>
      <c r="G20" s="54"/>
      <c r="H20" s="55"/>
      <c r="I20" s="54">
        <f>ER*'Plan Comparison Calculator'!$G$23-C20</f>
        <v>0</v>
      </c>
      <c r="J20" s="55"/>
      <c r="K20" s="54"/>
      <c r="L20" s="55"/>
      <c r="M20" s="52"/>
      <c r="N20" s="54">
        <f>'Plan Comparison Calculator'!$I$23*P1_In_ER</f>
        <v>0</v>
      </c>
      <c r="O20" s="55"/>
      <c r="P20" s="54"/>
      <c r="Q20" s="55"/>
      <c r="R20" s="54"/>
      <c r="S20" s="55"/>
      <c r="T20" s="54">
        <f>ER*'Plan Comparison Calculator'!$I$23-N20</f>
        <v>0</v>
      </c>
      <c r="U20" s="55"/>
      <c r="V20" s="54"/>
      <c r="W20" s="55"/>
      <c r="X20" s="52"/>
      <c r="Y20" s="54">
        <f>'Plan Comparison Calculator'!$J$23*P1_In_ER</f>
        <v>0</v>
      </c>
      <c r="Z20" s="55"/>
      <c r="AA20" s="54"/>
      <c r="AB20" s="55"/>
      <c r="AC20" s="54"/>
      <c r="AD20" s="55"/>
      <c r="AE20" s="54">
        <f>ER*'Plan Comparison Calculator'!$J$23-Y20</f>
        <v>0</v>
      </c>
      <c r="AF20" s="55"/>
      <c r="AG20" s="54"/>
      <c r="AH20" s="55"/>
    </row>
    <row r="21" spans="1:34" ht="15" x14ac:dyDescent="0.25">
      <c r="A21" s="213"/>
      <c r="B21" s="53"/>
      <c r="C21" s="54"/>
      <c r="D21" s="55"/>
      <c r="E21" s="54"/>
      <c r="F21" s="55"/>
      <c r="G21" s="54"/>
      <c r="H21" s="55"/>
      <c r="I21" s="54"/>
      <c r="J21" s="55"/>
      <c r="K21" s="54"/>
      <c r="L21" s="55"/>
      <c r="M21" s="52"/>
      <c r="N21" s="54"/>
      <c r="O21" s="55"/>
      <c r="P21" s="54"/>
      <c r="Q21" s="55"/>
      <c r="R21" s="54"/>
      <c r="S21" s="55"/>
      <c r="T21" s="54"/>
      <c r="U21" s="55"/>
      <c r="V21" s="54"/>
      <c r="W21" s="55"/>
      <c r="X21" s="52"/>
      <c r="Y21" s="54"/>
      <c r="Z21" s="55"/>
      <c r="AA21" s="54"/>
      <c r="AB21" s="55"/>
      <c r="AC21" s="54"/>
      <c r="AD21" s="55"/>
      <c r="AE21" s="54"/>
      <c r="AF21" s="55"/>
      <c r="AG21" s="54"/>
      <c r="AH21" s="55"/>
    </row>
    <row r="22" spans="1:34" ht="15" x14ac:dyDescent="0.25">
      <c r="A22" s="213"/>
      <c r="B22" s="53" t="s">
        <v>31</v>
      </c>
      <c r="C22" s="54"/>
      <c r="D22" s="55"/>
      <c r="E22" s="54"/>
      <c r="F22" s="55"/>
      <c r="G22" s="54">
        <f>Lab*'Plan Comparison Calculator'!$G$25</f>
        <v>0</v>
      </c>
      <c r="H22" s="55"/>
      <c r="I22" s="54"/>
      <c r="J22" s="55"/>
      <c r="K22" s="54"/>
      <c r="L22" s="55"/>
      <c r="M22" s="52"/>
      <c r="N22" s="54"/>
      <c r="O22" s="55"/>
      <c r="P22" s="54"/>
      <c r="Q22" s="55"/>
      <c r="R22" s="54">
        <f>Lab*'Plan Comparison Calculator'!$I$25</f>
        <v>0</v>
      </c>
      <c r="S22" s="55"/>
      <c r="T22" s="54"/>
      <c r="U22" s="55"/>
      <c r="V22" s="54"/>
      <c r="W22" s="55"/>
      <c r="X22" s="52"/>
      <c r="Y22" s="54"/>
      <c r="Z22" s="55"/>
      <c r="AA22" s="54"/>
      <c r="AB22" s="55"/>
      <c r="AC22" s="54">
        <f>Lab*'Plan Comparison Calculator'!$J$25</f>
        <v>0</v>
      </c>
      <c r="AD22" s="55"/>
      <c r="AE22" s="54"/>
      <c r="AF22" s="55"/>
      <c r="AG22" s="54"/>
      <c r="AH22" s="55"/>
    </row>
    <row r="23" spans="1:34" ht="15" x14ac:dyDescent="0.25">
      <c r="A23" s="213"/>
      <c r="B23" s="53"/>
      <c r="C23" s="54"/>
      <c r="D23" s="55"/>
      <c r="E23" s="54"/>
      <c r="F23" s="55"/>
      <c r="G23" s="54"/>
      <c r="H23" s="55"/>
      <c r="I23" s="54"/>
      <c r="J23" s="55"/>
      <c r="K23" s="54"/>
      <c r="L23" s="55"/>
      <c r="M23" s="52"/>
      <c r="N23" s="54"/>
      <c r="O23" s="55"/>
      <c r="P23" s="54"/>
      <c r="Q23" s="55"/>
      <c r="R23" s="54"/>
      <c r="S23" s="55"/>
      <c r="T23" s="54"/>
      <c r="U23" s="55"/>
      <c r="V23" s="54"/>
      <c r="W23" s="55"/>
      <c r="X23" s="52"/>
      <c r="Y23" s="54"/>
      <c r="Z23" s="55"/>
      <c r="AA23" s="54"/>
      <c r="AB23" s="55"/>
      <c r="AC23" s="54"/>
      <c r="AD23" s="55"/>
      <c r="AE23" s="54"/>
      <c r="AF23" s="55"/>
      <c r="AG23" s="54"/>
      <c r="AH23" s="55"/>
    </row>
    <row r="24" spans="1:34" ht="15" x14ac:dyDescent="0.25">
      <c r="A24" s="213"/>
      <c r="B24" s="53" t="s">
        <v>32</v>
      </c>
      <c r="C24" s="54"/>
      <c r="D24" s="55"/>
      <c r="E24" s="54"/>
      <c r="F24" s="55"/>
      <c r="G24" s="54">
        <f>Xray*'Plan Comparison Calculator'!$G$27</f>
        <v>0</v>
      </c>
      <c r="H24" s="55"/>
      <c r="I24" s="54"/>
      <c r="J24" s="55"/>
      <c r="K24" s="54"/>
      <c r="L24" s="55"/>
      <c r="M24" s="52"/>
      <c r="N24" s="54"/>
      <c r="O24" s="55"/>
      <c r="P24" s="54"/>
      <c r="Q24" s="55"/>
      <c r="R24" s="54">
        <f>Xray*'Plan Comparison Calculator'!$I$27</f>
        <v>0</v>
      </c>
      <c r="S24" s="55"/>
      <c r="T24" s="54"/>
      <c r="U24" s="55"/>
      <c r="V24" s="54"/>
      <c r="W24" s="55"/>
      <c r="X24" s="52"/>
      <c r="Y24" s="54"/>
      <c r="Z24" s="55"/>
      <c r="AA24" s="54"/>
      <c r="AB24" s="55"/>
      <c r="AC24" s="54">
        <f>Xray*'Plan Comparison Calculator'!$J$27</f>
        <v>0</v>
      </c>
      <c r="AD24" s="55"/>
      <c r="AE24" s="54"/>
      <c r="AF24" s="55"/>
      <c r="AG24" s="54"/>
      <c r="AH24" s="55"/>
    </row>
    <row r="25" spans="1:34" ht="15" x14ac:dyDescent="0.25">
      <c r="A25" s="213"/>
      <c r="B25" s="53"/>
      <c r="C25" s="54"/>
      <c r="D25" s="55"/>
      <c r="E25" s="54"/>
      <c r="F25" s="55"/>
      <c r="G25" s="54"/>
      <c r="H25" s="55"/>
      <c r="I25" s="54"/>
      <c r="J25" s="55"/>
      <c r="K25" s="54"/>
      <c r="L25" s="55"/>
      <c r="M25" s="52"/>
      <c r="N25" s="54"/>
      <c r="O25" s="55"/>
      <c r="P25" s="54"/>
      <c r="Q25" s="55"/>
      <c r="R25" s="54"/>
      <c r="S25" s="55"/>
      <c r="T25" s="54"/>
      <c r="U25" s="55"/>
      <c r="V25" s="54"/>
      <c r="W25" s="55"/>
      <c r="X25" s="52"/>
      <c r="Y25" s="54"/>
      <c r="Z25" s="55"/>
      <c r="AA25" s="54"/>
      <c r="AB25" s="55"/>
      <c r="AC25" s="54"/>
      <c r="AD25" s="55"/>
      <c r="AE25" s="54"/>
      <c r="AF25" s="55"/>
      <c r="AG25" s="54"/>
      <c r="AH25" s="55"/>
    </row>
    <row r="26" spans="1:34" ht="15" x14ac:dyDescent="0.25">
      <c r="A26" s="213"/>
      <c r="B26" s="53" t="s">
        <v>33</v>
      </c>
      <c r="C26" s="54"/>
      <c r="D26" s="55"/>
      <c r="E26" s="54"/>
      <c r="F26" s="55"/>
      <c r="G26" s="54">
        <f>CatScan*'Plan Comparison Calculator'!$G$29</f>
        <v>0</v>
      </c>
      <c r="H26" s="55"/>
      <c r="I26" s="54"/>
      <c r="J26" s="55"/>
      <c r="K26" s="54"/>
      <c r="L26" s="55"/>
      <c r="M26" s="52"/>
      <c r="N26" s="54"/>
      <c r="O26" s="55"/>
      <c r="P26" s="54"/>
      <c r="Q26" s="55"/>
      <c r="R26" s="54">
        <f>CatScan*'Plan Comparison Calculator'!$I$29</f>
        <v>0</v>
      </c>
      <c r="S26" s="55"/>
      <c r="T26" s="54"/>
      <c r="U26" s="55"/>
      <c r="V26" s="54"/>
      <c r="W26" s="55"/>
      <c r="X26" s="52"/>
      <c r="Y26" s="54"/>
      <c r="Z26" s="55"/>
      <c r="AA26" s="54"/>
      <c r="AB26" s="55"/>
      <c r="AC26" s="54">
        <f>CatScan*'Plan Comparison Calculator'!$J$29</f>
        <v>0</v>
      </c>
      <c r="AD26" s="55"/>
      <c r="AE26" s="54"/>
      <c r="AF26" s="55"/>
      <c r="AG26" s="54"/>
      <c r="AH26" s="55"/>
    </row>
    <row r="27" spans="1:34" ht="15" x14ac:dyDescent="0.25">
      <c r="A27" s="213"/>
      <c r="B27" s="53"/>
      <c r="C27" s="54"/>
      <c r="D27" s="55"/>
      <c r="E27" s="54"/>
      <c r="F27" s="55"/>
      <c r="G27" s="54"/>
      <c r="H27" s="55"/>
      <c r="I27" s="54"/>
      <c r="J27" s="55"/>
      <c r="K27" s="54"/>
      <c r="L27" s="55"/>
      <c r="M27" s="52"/>
      <c r="N27" s="54"/>
      <c r="O27" s="55"/>
      <c r="P27" s="54"/>
      <c r="Q27" s="55"/>
      <c r="R27" s="54"/>
      <c r="S27" s="55"/>
      <c r="T27" s="54"/>
      <c r="U27" s="55"/>
      <c r="V27" s="54"/>
      <c r="W27" s="55"/>
      <c r="X27" s="52"/>
      <c r="Y27" s="54"/>
      <c r="Z27" s="55"/>
      <c r="AA27" s="54"/>
      <c r="AB27" s="55"/>
      <c r="AC27" s="54"/>
      <c r="AD27" s="55"/>
      <c r="AE27" s="54"/>
      <c r="AF27" s="55"/>
      <c r="AG27" s="54"/>
      <c r="AH27" s="55"/>
    </row>
    <row r="28" spans="1:34" ht="15" x14ac:dyDescent="0.25">
      <c r="A28" s="213"/>
      <c r="B28" s="53" t="s">
        <v>34</v>
      </c>
      <c r="C28" s="54">
        <f>'Plan Comparison Calculator'!$G$31*P1_In_OP_Surgery_Copay</f>
        <v>0</v>
      </c>
      <c r="D28" s="55"/>
      <c r="E28" s="54"/>
      <c r="F28" s="55"/>
      <c r="G28" s="54"/>
      <c r="H28" s="55"/>
      <c r="I28" s="54">
        <f>Surgery_Facility*'Plan Comparison Calculator'!$G$31-C28</f>
        <v>0</v>
      </c>
      <c r="J28" s="55"/>
      <c r="K28" s="54">
        <f>Surgery_Physician*'Plan Comparison Calculator'!$G$31</f>
        <v>0</v>
      </c>
      <c r="L28" s="55"/>
      <c r="M28" s="52"/>
      <c r="N28" s="54">
        <f>'Plan Comparison Calculator'!$I$31*P1_In_OP_Surgery_Copay</f>
        <v>0</v>
      </c>
      <c r="O28" s="55"/>
      <c r="P28" s="54"/>
      <c r="Q28" s="55"/>
      <c r="R28" s="54"/>
      <c r="S28" s="55"/>
      <c r="T28" s="54">
        <f>Surgery_Facility*'Plan Comparison Calculator'!$I$31-N28</f>
        <v>0</v>
      </c>
      <c r="U28" s="55"/>
      <c r="V28" s="54">
        <f>Surgery_Physician*'Plan Comparison Calculator'!$I$31</f>
        <v>0</v>
      </c>
      <c r="W28" s="55"/>
      <c r="X28" s="52"/>
      <c r="Y28" s="54">
        <f>'Plan Comparison Calculator'!$J$31*P1_In_OP_Surgery_Copay</f>
        <v>0</v>
      </c>
      <c r="Z28" s="55"/>
      <c r="AA28" s="54"/>
      <c r="AB28" s="55"/>
      <c r="AC28" s="54"/>
      <c r="AD28" s="55"/>
      <c r="AE28" s="54">
        <f>Surgery_Facility*'Plan Comparison Calculator'!$J$31-Y28</f>
        <v>0</v>
      </c>
      <c r="AF28" s="55"/>
      <c r="AG28" s="54">
        <f>Surgery_Physician*'Plan Comparison Calculator'!$J$31</f>
        <v>0</v>
      </c>
      <c r="AH28" s="55"/>
    </row>
    <row r="29" spans="1:34" ht="15" x14ac:dyDescent="0.25">
      <c r="A29" s="213"/>
      <c r="B29" s="53"/>
      <c r="C29" s="54"/>
      <c r="D29" s="55"/>
      <c r="E29" s="54"/>
      <c r="F29" s="55"/>
      <c r="G29" s="54"/>
      <c r="H29" s="55"/>
      <c r="I29" s="54"/>
      <c r="J29" s="55"/>
      <c r="K29" s="54"/>
      <c r="L29" s="55"/>
      <c r="M29" s="52"/>
      <c r="N29" s="54"/>
      <c r="O29" s="55"/>
      <c r="P29" s="54"/>
      <c r="Q29" s="55"/>
      <c r="R29" s="54"/>
      <c r="S29" s="55"/>
      <c r="T29" s="54"/>
      <c r="U29" s="55"/>
      <c r="V29" s="54"/>
      <c r="W29" s="55"/>
      <c r="X29" s="52"/>
      <c r="Y29" s="54"/>
      <c r="Z29" s="55"/>
      <c r="AA29" s="54"/>
      <c r="AB29" s="55"/>
      <c r="AC29" s="54"/>
      <c r="AD29" s="55"/>
      <c r="AE29" s="54"/>
      <c r="AF29" s="55"/>
      <c r="AG29" s="54"/>
      <c r="AH29" s="55"/>
    </row>
    <row r="30" spans="1:34" ht="15" x14ac:dyDescent="0.25">
      <c r="A30" s="213"/>
      <c r="B30" s="53" t="s">
        <v>35</v>
      </c>
      <c r="C30" s="54">
        <f>'Plan Comparison Calculator'!$G$33*P1_In_IP_Hosp_Copay</f>
        <v>0</v>
      </c>
      <c r="D30" s="55"/>
      <c r="E30" s="54"/>
      <c r="F30" s="55"/>
      <c r="G30" s="54">
        <f>IP_XrayLab*'Plan Comparison Calculator'!$G$33</f>
        <v>0</v>
      </c>
      <c r="H30" s="55"/>
      <c r="I30" s="54">
        <f>IP_Facility*'Plan Comparison Calculator'!$G$33-C30</f>
        <v>0</v>
      </c>
      <c r="J30" s="55"/>
      <c r="K30" s="54">
        <f>IP_Physician*'Plan Comparison Calculator'!$G$33</f>
        <v>0</v>
      </c>
      <c r="L30" s="55"/>
      <c r="M30" s="52"/>
      <c r="N30" s="54">
        <f>'Plan Comparison Calculator'!$I$33*P1_In_IP_Hosp_Copay</f>
        <v>0</v>
      </c>
      <c r="O30" s="55"/>
      <c r="P30" s="54"/>
      <c r="Q30" s="55"/>
      <c r="R30" s="54">
        <f>IP_XrayLab*'Plan Comparison Calculator'!$I$33</f>
        <v>0</v>
      </c>
      <c r="S30" s="55"/>
      <c r="T30" s="54">
        <f>IP_Facility*'Plan Comparison Calculator'!$I$33-N30</f>
        <v>0</v>
      </c>
      <c r="U30" s="55"/>
      <c r="V30" s="54">
        <f>IP_Physician*'Plan Comparison Calculator'!$I$33</f>
        <v>0</v>
      </c>
      <c r="W30" s="55"/>
      <c r="X30" s="52"/>
      <c r="Y30" s="54">
        <f>'Plan Comparison Calculator'!$J$33*P1_In_IP_Hosp_Copay</f>
        <v>0</v>
      </c>
      <c r="Z30" s="55"/>
      <c r="AA30" s="54"/>
      <c r="AB30" s="55"/>
      <c r="AC30" s="54">
        <f>IP_XrayLab*'Plan Comparison Calculator'!$J$33</f>
        <v>0</v>
      </c>
      <c r="AD30" s="55"/>
      <c r="AE30" s="54">
        <f>IP_Facility*'Plan Comparison Calculator'!$J$33-Y30</f>
        <v>0</v>
      </c>
      <c r="AF30" s="55"/>
      <c r="AG30" s="54">
        <f>IP_Physician*'Plan Comparison Calculator'!$J$33</f>
        <v>0</v>
      </c>
      <c r="AH30" s="55"/>
    </row>
    <row r="31" spans="1:34" ht="15" x14ac:dyDescent="0.25">
      <c r="A31" s="213"/>
      <c r="B31" s="51"/>
      <c r="C31" s="54"/>
      <c r="D31" s="55"/>
      <c r="E31" s="54"/>
      <c r="F31" s="55"/>
      <c r="G31" s="54"/>
      <c r="H31" s="55"/>
      <c r="I31" s="54"/>
      <c r="J31" s="55"/>
      <c r="K31" s="54"/>
      <c r="L31" s="55"/>
      <c r="M31" s="52"/>
      <c r="N31" s="54"/>
      <c r="O31" s="55"/>
      <c r="P31" s="54"/>
      <c r="Q31" s="55"/>
      <c r="R31" s="54"/>
      <c r="S31" s="55"/>
      <c r="T31" s="54"/>
      <c r="U31" s="55"/>
      <c r="V31" s="54"/>
      <c r="W31" s="55"/>
      <c r="X31" s="52"/>
      <c r="Y31" s="54"/>
      <c r="Z31" s="55"/>
      <c r="AA31" s="54"/>
      <c r="AB31" s="55"/>
      <c r="AC31" s="54"/>
      <c r="AD31" s="55"/>
      <c r="AE31" s="54"/>
      <c r="AF31" s="55"/>
      <c r="AG31" s="54"/>
      <c r="AH31" s="55"/>
    </row>
    <row r="32" spans="1:34" ht="15" x14ac:dyDescent="0.25">
      <c r="A32" s="213"/>
      <c r="B32" s="51"/>
      <c r="C32" s="54"/>
      <c r="D32" s="55"/>
      <c r="E32" s="54"/>
      <c r="F32" s="55"/>
      <c r="G32" s="54"/>
      <c r="H32" s="55"/>
      <c r="I32" s="54"/>
      <c r="J32" s="55"/>
      <c r="K32" s="54"/>
      <c r="L32" s="55"/>
      <c r="M32" s="52"/>
      <c r="N32" s="54"/>
      <c r="O32" s="55"/>
      <c r="P32" s="54"/>
      <c r="Q32" s="55"/>
      <c r="R32" s="54"/>
      <c r="S32" s="55"/>
      <c r="T32" s="54"/>
      <c r="U32" s="55"/>
      <c r="V32" s="54"/>
      <c r="W32" s="55"/>
      <c r="X32" s="52"/>
      <c r="Y32" s="54"/>
      <c r="Z32" s="55"/>
      <c r="AA32" s="54"/>
      <c r="AB32" s="55"/>
      <c r="AC32" s="54"/>
      <c r="AD32" s="55"/>
      <c r="AE32" s="54"/>
      <c r="AF32" s="55"/>
      <c r="AG32" s="54"/>
      <c r="AH32" s="55"/>
    </row>
    <row r="33" spans="1:34" ht="15" x14ac:dyDescent="0.25">
      <c r="A33" s="213"/>
      <c r="B33" s="51"/>
      <c r="C33" s="54"/>
      <c r="D33" s="55"/>
      <c r="E33" s="54"/>
      <c r="F33" s="55"/>
      <c r="G33" s="54"/>
      <c r="H33" s="55"/>
      <c r="I33" s="54"/>
      <c r="J33" s="55"/>
      <c r="K33" s="54"/>
      <c r="L33" s="55"/>
      <c r="M33" s="52"/>
      <c r="N33" s="54"/>
      <c r="O33" s="55"/>
      <c r="P33" s="54"/>
      <c r="Q33" s="55"/>
      <c r="R33" s="54"/>
      <c r="S33" s="55"/>
      <c r="T33" s="54"/>
      <c r="U33" s="55"/>
      <c r="V33" s="54"/>
      <c r="W33" s="55"/>
      <c r="X33" s="52"/>
      <c r="Y33" s="54"/>
      <c r="Z33" s="55"/>
      <c r="AA33" s="54"/>
      <c r="AB33" s="55"/>
      <c r="AC33" s="54"/>
      <c r="AD33" s="55"/>
      <c r="AE33" s="54"/>
      <c r="AF33" s="55"/>
      <c r="AG33" s="54"/>
      <c r="AH33" s="55"/>
    </row>
    <row r="34" spans="1:34" ht="15" x14ac:dyDescent="0.25">
      <c r="A34" s="213"/>
      <c r="B34" s="51"/>
      <c r="C34" s="54">
        <f>SUM(C14:C30,C8)</f>
        <v>0</v>
      </c>
      <c r="D34" s="55"/>
      <c r="E34" s="54">
        <f>SUM(E16:E30,E8)</f>
        <v>0</v>
      </c>
      <c r="F34" s="55"/>
      <c r="G34" s="54">
        <f>MAX(SUM(G8:G26)-P1_In_LabMax,0)+SUM(G29:G30)</f>
        <v>0</v>
      </c>
      <c r="H34" s="55"/>
      <c r="I34" s="54">
        <f>SUM(I16:I30,I8)</f>
        <v>0</v>
      </c>
      <c r="J34" s="55"/>
      <c r="K34" s="54">
        <f>SUM(K16:K30,K8)</f>
        <v>0</v>
      </c>
      <c r="L34" s="55"/>
      <c r="M34" s="52"/>
      <c r="N34" s="54">
        <f>SUM(N14:N30,N8)</f>
        <v>0</v>
      </c>
      <c r="O34" s="55"/>
      <c r="P34" s="54">
        <f>SUM(P16:P30,P8)</f>
        <v>0</v>
      </c>
      <c r="Q34" s="55"/>
      <c r="R34" s="54">
        <f>MAX(SUM(R8:R26)-P1_In_LabMax,0)+SUM(R29:R30)</f>
        <v>0</v>
      </c>
      <c r="S34" s="55"/>
      <c r="T34" s="54">
        <f>SUM(T16:T30,T8)</f>
        <v>0</v>
      </c>
      <c r="U34" s="55"/>
      <c r="V34" s="54">
        <f>SUM(V16:V30,V8)</f>
        <v>0</v>
      </c>
      <c r="W34" s="55"/>
      <c r="X34" s="52"/>
      <c r="Y34" s="54">
        <f>SUM(Y14:Y30,Y8)</f>
        <v>0</v>
      </c>
      <c r="Z34" s="55"/>
      <c r="AA34" s="54">
        <f>SUM(AA16:AA30,AA8)</f>
        <v>0</v>
      </c>
      <c r="AB34" s="55"/>
      <c r="AC34" s="54">
        <f>MAX(SUM(AC8:AC26)-P1_In_LabMax,0)+SUM(AC29:AC30)</f>
        <v>0</v>
      </c>
      <c r="AD34" s="55"/>
      <c r="AE34" s="54">
        <f>SUM(AE16:AE30,AE8)</f>
        <v>0</v>
      </c>
      <c r="AF34" s="55"/>
      <c r="AG34" s="54">
        <f>SUM(AG16:AG30,AG8)</f>
        <v>0</v>
      </c>
      <c r="AH34" s="55"/>
    </row>
    <row r="35" spans="1:34" ht="14.25" x14ac:dyDescent="0.2">
      <c r="A35" s="213"/>
      <c r="B35" s="51"/>
      <c r="C35" s="19"/>
      <c r="D35" s="19"/>
      <c r="E35" s="19"/>
      <c r="F35" s="19"/>
      <c r="G35" s="19"/>
      <c r="H35" s="19"/>
      <c r="I35" s="19"/>
      <c r="J35" s="19"/>
      <c r="K35" s="19"/>
      <c r="L35" s="19"/>
      <c r="M35" s="52"/>
      <c r="N35" s="19"/>
      <c r="O35" s="19"/>
      <c r="P35" s="19"/>
      <c r="Q35" s="19"/>
      <c r="R35" s="19"/>
      <c r="S35" s="19"/>
      <c r="T35" s="19"/>
      <c r="U35" s="19"/>
      <c r="V35" s="19"/>
      <c r="W35" s="19"/>
      <c r="X35" s="52"/>
      <c r="Y35" s="19"/>
      <c r="Z35" s="19"/>
      <c r="AA35" s="19"/>
      <c r="AB35" s="19"/>
      <c r="AC35" s="19"/>
    </row>
    <row r="36" spans="1:34" ht="15" x14ac:dyDescent="0.25">
      <c r="A36" s="213"/>
      <c r="B36" s="51"/>
      <c r="C36" s="56" t="s">
        <v>36</v>
      </c>
      <c r="D36" s="19"/>
      <c r="E36" s="19"/>
      <c r="F36" s="19"/>
      <c r="G36" s="19"/>
      <c r="H36" s="19"/>
      <c r="I36" s="19"/>
      <c r="J36" s="19"/>
      <c r="K36" s="19"/>
      <c r="L36" s="19"/>
      <c r="M36" s="52"/>
      <c r="N36" s="19"/>
      <c r="O36" s="19"/>
      <c r="P36" s="19"/>
      <c r="Q36" s="19"/>
      <c r="R36" s="19"/>
      <c r="S36" s="19"/>
      <c r="T36" s="19"/>
      <c r="U36" s="19"/>
      <c r="V36" s="19"/>
      <c r="W36" s="19"/>
      <c r="X36" s="52"/>
      <c r="Y36" s="19"/>
      <c r="Z36" s="19"/>
      <c r="AA36" s="19"/>
      <c r="AB36" s="19"/>
      <c r="AC36" s="19"/>
    </row>
    <row r="37" spans="1:34" ht="14.25" x14ac:dyDescent="0.2">
      <c r="B37" s="51"/>
      <c r="C37" s="57">
        <f>P1_In_Rx1*'Plan Comparison Calculator'!$F$39+P1_Out_Rx1*'Plan Comparison Calculator'!$K$39</f>
        <v>0</v>
      </c>
      <c r="D37" s="57"/>
      <c r="E37" s="19"/>
      <c r="F37" s="19"/>
      <c r="G37" s="19"/>
      <c r="H37" s="19"/>
      <c r="I37" s="19"/>
      <c r="J37" s="19"/>
      <c r="K37" s="19"/>
      <c r="L37" s="19"/>
      <c r="M37" s="52"/>
      <c r="N37" s="57"/>
      <c r="O37" s="57"/>
      <c r="P37" s="19"/>
      <c r="Q37" s="19"/>
      <c r="R37" s="19"/>
      <c r="S37" s="19"/>
      <c r="T37" s="19"/>
      <c r="U37" s="19"/>
      <c r="V37" s="19"/>
      <c r="W37" s="19"/>
      <c r="X37" s="52"/>
      <c r="Y37" s="57"/>
      <c r="Z37" s="19"/>
      <c r="AA37" s="19"/>
      <c r="AB37" s="19"/>
      <c r="AC37" s="19"/>
    </row>
    <row r="38" spans="1:34" ht="14.25" x14ac:dyDescent="0.2">
      <c r="B38" s="51"/>
      <c r="C38" s="57">
        <f>P1_In_Rx2*'Plan Comparison Calculator'!$F$40+P1_Out_Rx2*'Plan Comparison Calculator'!$K$40</f>
        <v>0</v>
      </c>
      <c r="D38" s="57"/>
      <c r="E38" s="19"/>
      <c r="F38" s="19"/>
      <c r="G38" s="19"/>
      <c r="H38" s="19"/>
      <c r="I38" s="19"/>
      <c r="J38" s="19"/>
      <c r="K38" s="19"/>
      <c r="L38" s="19"/>
      <c r="M38" s="52"/>
      <c r="N38" s="57"/>
      <c r="O38" s="57"/>
      <c r="P38" s="19"/>
      <c r="Q38" s="19"/>
      <c r="R38" s="19"/>
      <c r="S38" s="19"/>
      <c r="T38" s="19"/>
      <c r="U38" s="19"/>
      <c r="V38" s="19"/>
      <c r="W38" s="19"/>
      <c r="X38" s="52"/>
      <c r="Y38" s="57"/>
      <c r="Z38" s="19"/>
      <c r="AA38" s="19"/>
      <c r="AB38" s="19"/>
      <c r="AC38" s="19"/>
    </row>
    <row r="39" spans="1:34" ht="14.25" x14ac:dyDescent="0.2">
      <c r="B39" s="51"/>
      <c r="C39" s="57">
        <f>P1_In_Rx3*'Plan Comparison Calculator'!$F$41+P1_Out_Rx3*'Plan Comparison Calculator'!$K$41</f>
        <v>0</v>
      </c>
      <c r="D39" s="57"/>
      <c r="E39" s="19"/>
      <c r="F39" s="19"/>
      <c r="G39" s="19"/>
      <c r="H39" s="19"/>
      <c r="I39" s="19"/>
      <c r="J39" s="19"/>
      <c r="K39" s="19"/>
      <c r="L39" s="19"/>
      <c r="M39" s="52"/>
      <c r="N39" s="57"/>
      <c r="O39" s="57"/>
      <c r="P39" s="19"/>
      <c r="Q39" s="19"/>
      <c r="R39" s="19"/>
      <c r="S39" s="19"/>
      <c r="T39" s="19"/>
      <c r="U39" s="19"/>
      <c r="V39" s="19"/>
      <c r="W39" s="19"/>
      <c r="X39" s="52"/>
      <c r="Y39" s="57"/>
      <c r="Z39" s="19"/>
      <c r="AA39" s="19"/>
      <c r="AB39" s="19"/>
      <c r="AC39" s="19"/>
    </row>
    <row r="40" spans="1:34" ht="14.25" x14ac:dyDescent="0.2">
      <c r="B40" s="51"/>
      <c r="C40" s="19"/>
      <c r="D40" s="19"/>
      <c r="E40" s="19"/>
      <c r="F40" s="19"/>
      <c r="G40" s="19"/>
      <c r="H40" s="19"/>
      <c r="I40" s="19"/>
      <c r="J40" s="19"/>
      <c r="K40" s="19"/>
      <c r="L40" s="19"/>
      <c r="M40" s="52"/>
      <c r="N40" s="16"/>
      <c r="O40" s="16"/>
      <c r="P40" s="16"/>
      <c r="Q40" s="16"/>
      <c r="R40" s="16"/>
      <c r="S40" s="16"/>
      <c r="T40" s="16"/>
      <c r="U40" s="16"/>
      <c r="V40" s="16"/>
      <c r="W40" s="16"/>
      <c r="X40" s="52"/>
      <c r="Y40" s="16"/>
      <c r="Z40" s="16"/>
      <c r="AA40" s="16"/>
      <c r="AB40" s="16"/>
      <c r="AC40" s="16"/>
    </row>
    <row r="41" spans="1:34" ht="15.75" x14ac:dyDescent="0.25">
      <c r="B41" s="48"/>
      <c r="C41" s="58">
        <f>SUM(C37:C39)</f>
        <v>0</v>
      </c>
      <c r="D41" s="59"/>
      <c r="E41" s="60" t="s">
        <v>37</v>
      </c>
      <c r="F41" s="60"/>
      <c r="G41" s="61"/>
      <c r="H41" s="61"/>
      <c r="I41" s="61"/>
      <c r="J41" s="61"/>
      <c r="K41" s="61"/>
      <c r="L41" s="61"/>
      <c r="M41" s="50"/>
      <c r="N41" s="10"/>
      <c r="O41" s="10"/>
      <c r="P41" s="10"/>
      <c r="Q41" s="10"/>
      <c r="R41" s="10"/>
      <c r="S41" s="10"/>
      <c r="T41" s="10"/>
      <c r="U41" s="10"/>
      <c r="V41" s="10"/>
      <c r="W41" s="10"/>
      <c r="X41" s="50"/>
      <c r="Y41" s="10"/>
      <c r="Z41" s="10"/>
      <c r="AA41" s="10"/>
      <c r="AB41" s="10"/>
      <c r="AC41" s="10"/>
    </row>
    <row r="42" spans="1:34" ht="14.25" x14ac:dyDescent="0.2">
      <c r="B42" s="51"/>
      <c r="C42" s="19"/>
      <c r="D42" s="19"/>
      <c r="E42" s="19"/>
      <c r="F42" s="19"/>
      <c r="G42" s="19"/>
      <c r="H42" s="19"/>
      <c r="I42" s="19"/>
      <c r="J42" s="19"/>
      <c r="K42" s="19"/>
      <c r="L42" s="19"/>
      <c r="M42" s="52"/>
      <c r="N42" s="16"/>
      <c r="O42" s="16"/>
      <c r="P42" s="16"/>
      <c r="Q42" s="16"/>
      <c r="R42" s="16"/>
      <c r="S42" s="16"/>
      <c r="T42" s="16"/>
      <c r="U42" s="16"/>
      <c r="V42" s="16"/>
      <c r="W42" s="16"/>
      <c r="X42" s="52"/>
      <c r="Y42" s="16"/>
      <c r="Z42" s="16"/>
      <c r="AA42" s="16"/>
      <c r="AB42" s="16"/>
      <c r="AC42" s="16"/>
    </row>
    <row r="43" spans="1:34" ht="14.25" x14ac:dyDescent="0.2">
      <c r="B43" s="51"/>
      <c r="C43" s="19"/>
      <c r="D43" s="19"/>
      <c r="E43" s="19"/>
      <c r="F43" s="19"/>
      <c r="G43" s="19"/>
      <c r="H43" s="19"/>
      <c r="I43" s="19"/>
      <c r="J43" s="19"/>
      <c r="K43" s="19"/>
      <c r="L43" s="19"/>
      <c r="M43" s="52"/>
      <c r="N43" s="16"/>
      <c r="O43" s="16"/>
      <c r="P43" s="16"/>
      <c r="Q43" s="16"/>
      <c r="R43" s="16"/>
      <c r="S43" s="16"/>
      <c r="T43" s="16"/>
      <c r="U43" s="16"/>
      <c r="V43" s="16"/>
      <c r="W43" s="16"/>
      <c r="X43" s="52"/>
      <c r="Y43" s="16"/>
      <c r="Z43" s="16"/>
      <c r="AA43" s="16"/>
      <c r="AB43" s="16"/>
      <c r="AC43" s="16"/>
    </row>
    <row r="44" spans="1:34" ht="15.75" x14ac:dyDescent="0.25">
      <c r="B44" s="62"/>
      <c r="C44" s="13"/>
      <c r="D44" s="13"/>
      <c r="E44" s="13"/>
      <c r="F44" s="13"/>
      <c r="G44" s="13"/>
      <c r="H44" s="13"/>
      <c r="I44" s="13"/>
      <c r="J44" s="13"/>
      <c r="K44" s="13"/>
      <c r="L44" s="13"/>
      <c r="M44" s="63"/>
      <c r="N44" s="12"/>
      <c r="O44" s="12"/>
      <c r="P44" s="12"/>
      <c r="Q44" s="12"/>
      <c r="R44" s="12"/>
      <c r="S44" s="12"/>
      <c r="T44" s="12"/>
      <c r="U44" s="12"/>
      <c r="V44" s="12"/>
      <c r="W44" s="12"/>
      <c r="X44" s="63"/>
      <c r="Y44" s="12"/>
      <c r="Z44" s="12"/>
      <c r="AA44" s="12"/>
      <c r="AB44" s="12"/>
      <c r="AC44" s="12"/>
    </row>
    <row r="45" spans="1:34" ht="15" x14ac:dyDescent="0.25">
      <c r="B45" s="64"/>
      <c r="C45" s="65">
        <f>SUM(C34:D34)</f>
        <v>0</v>
      </c>
      <c r="D45" s="56"/>
      <c r="E45" s="60" t="s">
        <v>38</v>
      </c>
      <c r="F45" s="60"/>
      <c r="G45" s="56"/>
      <c r="H45" s="56"/>
      <c r="I45" s="56"/>
      <c r="J45" s="56"/>
      <c r="K45" s="56"/>
      <c r="L45" s="56"/>
      <c r="M45" s="66"/>
      <c r="N45" s="65">
        <f>SUM(N34:O34)*T$2</f>
        <v>0</v>
      </c>
      <c r="O45" s="56"/>
      <c r="P45" s="60" t="s">
        <v>38</v>
      </c>
      <c r="Q45" s="60"/>
      <c r="R45" s="32"/>
      <c r="S45" s="32"/>
      <c r="T45" s="32"/>
      <c r="U45" s="32"/>
      <c r="V45" s="32"/>
      <c r="W45" s="32"/>
      <c r="X45" s="66"/>
      <c r="Y45" s="65">
        <f>SUM(Y34:Z34)*AE$2</f>
        <v>0</v>
      </c>
      <c r="Z45" s="56"/>
      <c r="AA45" s="60" t="s">
        <v>38</v>
      </c>
      <c r="AB45" s="32"/>
      <c r="AC45" s="32"/>
    </row>
    <row r="46" spans="1:34" ht="15" x14ac:dyDescent="0.25">
      <c r="B46" s="64"/>
      <c r="C46" s="54">
        <f>E34+G34+I34+K34</f>
        <v>0</v>
      </c>
      <c r="D46" s="56"/>
      <c r="E46" s="67" t="s">
        <v>39</v>
      </c>
      <c r="F46" s="60"/>
      <c r="G46" s="56"/>
      <c r="H46" s="56"/>
      <c r="I46" s="56"/>
      <c r="J46" s="56"/>
      <c r="K46" s="56"/>
      <c r="L46" s="56"/>
      <c r="M46" s="66"/>
      <c r="N46" s="54">
        <f>(P34+R34+T34+V34)*T$2</f>
        <v>0</v>
      </c>
      <c r="O46" s="56"/>
      <c r="P46" s="67" t="s">
        <v>39</v>
      </c>
      <c r="Q46" s="60"/>
      <c r="R46" s="32"/>
      <c r="S46" s="32"/>
      <c r="T46" s="32"/>
      <c r="U46" s="32"/>
      <c r="V46" s="32"/>
      <c r="W46" s="32"/>
      <c r="X46" s="66"/>
      <c r="Y46" s="54">
        <f>(AA34+AC34+AE34+AG34)*AE$2</f>
        <v>0</v>
      </c>
      <c r="Z46" s="56"/>
      <c r="AA46" s="67" t="s">
        <v>39</v>
      </c>
      <c r="AB46" s="32"/>
      <c r="AC46" s="32"/>
    </row>
    <row r="47" spans="1:34" ht="15" x14ac:dyDescent="0.25">
      <c r="B47" s="64"/>
      <c r="C47" s="55"/>
      <c r="E47" s="68"/>
      <c r="F47" s="60"/>
      <c r="G47" s="56"/>
      <c r="H47" s="56"/>
      <c r="I47" s="56"/>
      <c r="J47" s="56"/>
      <c r="K47" s="56"/>
      <c r="L47" s="56"/>
      <c r="M47" s="66"/>
      <c r="N47" s="55"/>
      <c r="P47" s="68"/>
      <c r="Q47" s="60"/>
      <c r="R47" s="32"/>
      <c r="S47" s="32"/>
      <c r="T47" s="32"/>
      <c r="U47" s="32"/>
      <c r="V47" s="32"/>
      <c r="W47" s="32"/>
      <c r="X47" s="66"/>
      <c r="Y47" s="55"/>
      <c r="AA47" s="68"/>
      <c r="AB47" s="32"/>
      <c r="AC47" s="32"/>
    </row>
    <row r="48" spans="1:34" ht="15" x14ac:dyDescent="0.25">
      <c r="B48" s="64"/>
      <c r="C48" s="54">
        <f>E34+G34+I34+K34</f>
        <v>0</v>
      </c>
      <c r="D48" s="56"/>
      <c r="E48" s="67" t="s">
        <v>40</v>
      </c>
      <c r="F48" s="60"/>
      <c r="G48" s="56"/>
      <c r="H48" s="56"/>
      <c r="I48" s="56"/>
      <c r="J48" s="56"/>
      <c r="K48" s="56"/>
      <c r="L48" s="56"/>
      <c r="M48" s="66"/>
      <c r="N48" s="54">
        <f>(P34+R34+T34+V34)*T$2</f>
        <v>0</v>
      </c>
      <c r="O48" s="56"/>
      <c r="P48" s="67" t="s">
        <v>40</v>
      </c>
      <c r="Q48" s="60"/>
      <c r="R48" s="32"/>
      <c r="S48" s="32"/>
      <c r="T48" s="32"/>
      <c r="U48" s="32"/>
      <c r="V48" s="32"/>
      <c r="W48" s="32"/>
      <c r="X48" s="66"/>
      <c r="Y48" s="54">
        <f>(AA34+AC34+AE34+AG34)*AE$2</f>
        <v>0</v>
      </c>
      <c r="Z48" s="56"/>
      <c r="AA48" s="67" t="s">
        <v>40</v>
      </c>
      <c r="AB48" s="32"/>
      <c r="AC48" s="32"/>
    </row>
    <row r="49" spans="2:34" ht="15" x14ac:dyDescent="0.25">
      <c r="B49" s="64"/>
      <c r="C49" s="55"/>
      <c r="D49" s="56"/>
      <c r="E49" s="68"/>
      <c r="F49" s="32"/>
      <c r="G49" s="56"/>
      <c r="H49" s="56"/>
      <c r="I49" s="56"/>
      <c r="J49" s="56"/>
      <c r="K49" s="56"/>
      <c r="L49" s="56"/>
      <c r="M49" s="66"/>
      <c r="N49" s="55"/>
      <c r="O49" s="56"/>
      <c r="P49" s="68"/>
      <c r="Q49" s="32"/>
      <c r="R49" s="32"/>
      <c r="S49" s="32"/>
      <c r="T49" s="32"/>
      <c r="U49" s="32"/>
      <c r="V49" s="32"/>
      <c r="W49" s="32"/>
      <c r="X49" s="66"/>
      <c r="Y49" s="55"/>
      <c r="Z49" s="56"/>
      <c r="AA49" s="68"/>
      <c r="AB49" s="32"/>
      <c r="AC49" s="32"/>
    </row>
    <row r="50" spans="2:34" ht="15" x14ac:dyDescent="0.25">
      <c r="B50" s="64"/>
      <c r="F50" s="60"/>
      <c r="G50" s="56"/>
      <c r="H50" s="56"/>
      <c r="I50" s="56"/>
      <c r="J50" s="56"/>
      <c r="K50" s="56"/>
      <c r="L50" s="56"/>
      <c r="M50" s="66"/>
      <c r="Q50" s="60"/>
      <c r="R50" s="32"/>
      <c r="S50" s="32"/>
      <c r="T50" s="32"/>
      <c r="U50" s="32"/>
      <c r="V50" s="32"/>
      <c r="W50" s="32"/>
      <c r="X50" s="66"/>
      <c r="AB50" s="32"/>
      <c r="AC50" s="32"/>
    </row>
    <row r="51" spans="2:34" ht="15" x14ac:dyDescent="0.25">
      <c r="B51" s="64"/>
      <c r="C51" s="54">
        <f>MIN(C46,P1_In_Deduct)</f>
        <v>0</v>
      </c>
      <c r="D51" s="56"/>
      <c r="E51" s="69" t="s">
        <v>41</v>
      </c>
      <c r="G51" s="19"/>
      <c r="H51" s="19"/>
      <c r="I51" s="19"/>
      <c r="J51" s="19"/>
      <c r="K51" s="19"/>
      <c r="L51" s="19"/>
      <c r="M51" s="16"/>
      <c r="N51" s="54">
        <f>MIN(N46,P1_In_Deduct)</f>
        <v>0</v>
      </c>
      <c r="O51" s="56"/>
      <c r="P51" s="69" t="s">
        <v>41</v>
      </c>
      <c r="Q51" s="16"/>
      <c r="R51" s="16"/>
      <c r="S51" s="16"/>
      <c r="T51" s="16"/>
      <c r="U51" s="16"/>
      <c r="V51" s="16"/>
      <c r="W51" s="16"/>
      <c r="X51" s="16"/>
      <c r="Y51" s="54">
        <f>MIN(Y46,P1_In_Deduct)</f>
        <v>0</v>
      </c>
      <c r="Z51" s="56"/>
      <c r="AA51" s="69" t="s">
        <v>41</v>
      </c>
      <c r="AB51" s="16"/>
      <c r="AC51" s="16"/>
    </row>
    <row r="52" spans="2:34" ht="15" x14ac:dyDescent="0.25">
      <c r="B52" s="64"/>
      <c r="C52" s="55"/>
      <c r="E52" s="70"/>
      <c r="G52" s="19"/>
      <c r="H52" s="19"/>
      <c r="I52" s="19"/>
      <c r="J52" s="19"/>
      <c r="K52" s="19"/>
      <c r="L52" s="19"/>
      <c r="M52" s="16"/>
      <c r="N52" s="55"/>
      <c r="P52" s="70"/>
      <c r="Q52" s="16"/>
      <c r="R52" s="16"/>
      <c r="S52" s="16"/>
      <c r="W52" s="56"/>
      <c r="X52" s="16"/>
      <c r="Y52" s="55"/>
      <c r="AA52" s="70"/>
      <c r="AB52" s="16"/>
      <c r="AC52" s="16"/>
    </row>
    <row r="53" spans="2:34" ht="15" x14ac:dyDescent="0.25">
      <c r="B53" s="64"/>
      <c r="C53" s="55"/>
      <c r="E53" s="70"/>
      <c r="G53" s="19"/>
      <c r="H53" s="19"/>
      <c r="I53" s="19"/>
      <c r="J53" s="19"/>
      <c r="K53" s="19"/>
      <c r="L53" s="19"/>
      <c r="M53" s="16"/>
      <c r="N53" s="55"/>
      <c r="P53" s="70"/>
      <c r="Q53" s="16"/>
      <c r="R53" s="16"/>
      <c r="S53" s="16"/>
      <c r="W53" s="56"/>
      <c r="X53" s="16"/>
      <c r="Y53" s="55"/>
      <c r="AA53" s="70"/>
      <c r="AB53" s="16"/>
      <c r="AC53" s="16"/>
    </row>
    <row r="54" spans="2:34" ht="15" x14ac:dyDescent="0.25">
      <c r="B54" s="64"/>
      <c r="C54" s="54">
        <f>MIN((C48-C51)*(1-P1_In_Coins),P1_In_OOPMax)</f>
        <v>0</v>
      </c>
      <c r="D54" s="56"/>
      <c r="E54" s="67" t="s">
        <v>42</v>
      </c>
      <c r="F54" s="19"/>
      <c r="G54" s="19"/>
      <c r="H54" s="19"/>
      <c r="I54" s="19"/>
      <c r="J54" s="19"/>
      <c r="K54" s="19"/>
      <c r="L54" s="19"/>
      <c r="M54" s="16"/>
      <c r="N54" s="54">
        <f>MIN((N48-N51)*(1-P1_In_Coins),P1_In_OOPMax)</f>
        <v>0</v>
      </c>
      <c r="O54" s="56"/>
      <c r="P54" s="67" t="s">
        <v>42</v>
      </c>
      <c r="Q54" s="16"/>
      <c r="R54" s="16"/>
      <c r="S54" s="16"/>
      <c r="W54" s="56"/>
      <c r="X54" s="16"/>
      <c r="Y54" s="54">
        <f>MIN((Y48-Y51)*(1-P1_In_Coins),P1_In_OOPMax)</f>
        <v>0</v>
      </c>
      <c r="Z54" s="56"/>
      <c r="AA54" s="67" t="s">
        <v>42</v>
      </c>
      <c r="AB54" s="16"/>
      <c r="AC54" s="16"/>
    </row>
    <row r="55" spans="2:34" ht="15.75" x14ac:dyDescent="0.25">
      <c r="B55" s="64"/>
      <c r="C55" s="55"/>
      <c r="D55" s="13"/>
      <c r="E55" s="68"/>
      <c r="F55" s="13"/>
      <c r="G55" s="13"/>
      <c r="H55" s="13"/>
      <c r="I55" s="13"/>
      <c r="J55" s="13"/>
      <c r="K55" s="13"/>
      <c r="L55" s="13"/>
      <c r="M55" s="12"/>
      <c r="N55" s="55"/>
      <c r="O55" s="13"/>
      <c r="P55" s="68"/>
      <c r="Q55" s="12"/>
      <c r="R55" s="12"/>
      <c r="S55" s="12"/>
      <c r="T55" s="71"/>
      <c r="U55" s="71"/>
      <c r="V55" s="12"/>
      <c r="W55" s="12"/>
      <c r="X55" s="12"/>
      <c r="Y55" s="55"/>
      <c r="Z55" s="13"/>
      <c r="AA55" s="68"/>
      <c r="AB55" s="12"/>
      <c r="AC55" s="12"/>
    </row>
    <row r="56" spans="2:34" ht="15" x14ac:dyDescent="0.25">
      <c r="B56" s="64"/>
      <c r="C56" s="19"/>
      <c r="D56" s="19"/>
      <c r="E56" s="19"/>
      <c r="F56" s="19"/>
      <c r="G56" s="19"/>
      <c r="H56" s="19"/>
      <c r="I56" s="19"/>
      <c r="J56" s="19"/>
      <c r="K56" s="19"/>
      <c r="L56" s="19"/>
      <c r="M56" s="16"/>
      <c r="N56" s="16"/>
      <c r="O56" s="16"/>
      <c r="P56" s="16"/>
      <c r="Q56" s="16"/>
      <c r="R56" s="16"/>
      <c r="S56" s="16"/>
      <c r="T56" s="72"/>
      <c r="U56" s="72"/>
      <c r="V56" s="16"/>
      <c r="W56" s="16"/>
      <c r="X56" s="16"/>
      <c r="Y56" s="16"/>
      <c r="Z56" s="16"/>
      <c r="AA56" s="16"/>
      <c r="AB56" s="16"/>
      <c r="AC56" s="16"/>
    </row>
    <row r="57" spans="2:34" ht="15" x14ac:dyDescent="0.25">
      <c r="B57" s="64"/>
      <c r="C57" s="19"/>
      <c r="D57" s="19"/>
      <c r="E57" s="19"/>
      <c r="F57" s="19"/>
      <c r="G57" s="19"/>
      <c r="H57" s="19"/>
      <c r="I57" s="19"/>
      <c r="J57" s="19"/>
      <c r="K57" s="19"/>
      <c r="L57" s="19"/>
      <c r="M57" s="16"/>
      <c r="N57" s="16"/>
      <c r="O57" s="16"/>
      <c r="P57" s="16"/>
      <c r="Q57" s="16"/>
      <c r="R57" s="16"/>
      <c r="S57" s="16"/>
      <c r="T57" s="16"/>
      <c r="U57" s="16"/>
      <c r="V57" s="16"/>
      <c r="W57" s="16"/>
      <c r="X57" s="16"/>
      <c r="Y57" s="16"/>
      <c r="Z57" s="16"/>
      <c r="AA57" s="16"/>
      <c r="AB57" s="16"/>
      <c r="AC57" s="16"/>
    </row>
    <row r="58" spans="2:34" ht="15.75" x14ac:dyDescent="0.25">
      <c r="B58" s="64"/>
      <c r="C58" s="13"/>
      <c r="D58" s="13"/>
      <c r="E58" s="13"/>
      <c r="F58" s="13"/>
      <c r="G58" s="13"/>
      <c r="H58" s="13"/>
      <c r="I58" s="13"/>
      <c r="J58" s="13"/>
      <c r="K58" s="13"/>
      <c r="L58" s="13"/>
      <c r="M58" s="12"/>
      <c r="N58" s="12"/>
      <c r="O58" s="12"/>
      <c r="P58" s="12"/>
      <c r="Q58" s="12"/>
      <c r="R58" s="12"/>
      <c r="S58" s="12"/>
      <c r="T58" s="73" t="s">
        <v>43</v>
      </c>
      <c r="U58" s="73"/>
      <c r="V58" s="184">
        <f>MIN((C51+N51+Y51),(P1_In_Deduct*P1_In_FamMult))</f>
        <v>0</v>
      </c>
      <c r="W58" s="12"/>
      <c r="X58" s="12"/>
      <c r="Y58" s="12"/>
      <c r="Z58" s="12"/>
      <c r="AA58" s="12"/>
      <c r="AB58" s="12"/>
      <c r="AC58" s="12"/>
    </row>
    <row r="59" spans="2:34" ht="15" x14ac:dyDescent="0.25">
      <c r="B59" s="64"/>
      <c r="C59" s="19"/>
      <c r="D59" s="19"/>
      <c r="E59" s="19"/>
      <c r="F59" s="19"/>
      <c r="G59" s="19"/>
      <c r="H59" s="19"/>
      <c r="I59" s="19"/>
      <c r="J59" s="19"/>
      <c r="K59" s="19"/>
      <c r="L59" s="19"/>
      <c r="M59" s="16"/>
      <c r="N59" s="16"/>
      <c r="O59" s="16"/>
      <c r="P59" s="16"/>
      <c r="Q59" s="16"/>
      <c r="R59" s="16"/>
      <c r="S59" s="16"/>
      <c r="T59" s="73"/>
      <c r="V59" s="185"/>
      <c r="W59" s="16"/>
      <c r="X59" s="16"/>
      <c r="Y59" s="16"/>
      <c r="Z59" s="16"/>
      <c r="AA59" s="16"/>
      <c r="AB59" s="16"/>
      <c r="AC59" s="16"/>
    </row>
    <row r="60" spans="2:34" ht="15" x14ac:dyDescent="0.25">
      <c r="B60" s="64"/>
      <c r="C60" s="19"/>
      <c r="D60" s="19"/>
      <c r="E60" s="19"/>
      <c r="F60" s="19"/>
      <c r="G60" s="19"/>
      <c r="H60" s="19"/>
      <c r="I60" s="19"/>
      <c r="J60" s="19"/>
      <c r="K60" s="19"/>
      <c r="L60" s="19"/>
      <c r="M60" s="16"/>
      <c r="N60" s="16"/>
      <c r="O60" s="16"/>
      <c r="P60" s="16"/>
      <c r="Q60" s="16"/>
      <c r="R60" s="16"/>
      <c r="S60" s="16"/>
      <c r="T60" s="16"/>
      <c r="U60" s="16"/>
      <c r="V60" s="186"/>
      <c r="W60" s="16"/>
      <c r="X60" s="16"/>
      <c r="Y60" s="16"/>
      <c r="Z60" s="16"/>
      <c r="AA60" s="16"/>
      <c r="AB60" s="16"/>
      <c r="AC60" s="16"/>
    </row>
    <row r="61" spans="2:34" ht="15.75" x14ac:dyDescent="0.25">
      <c r="B61" s="64"/>
      <c r="C61" s="13"/>
      <c r="D61" s="13"/>
      <c r="E61" s="13"/>
      <c r="F61" s="13"/>
      <c r="G61" s="13"/>
      <c r="H61" s="13"/>
      <c r="I61" s="13"/>
      <c r="J61" s="13"/>
      <c r="K61" s="13"/>
      <c r="L61" s="13"/>
      <c r="M61" s="12"/>
      <c r="N61" s="12"/>
      <c r="O61" s="12"/>
      <c r="P61" s="12"/>
      <c r="Q61" s="12"/>
      <c r="R61" s="12"/>
      <c r="S61" s="12"/>
      <c r="T61" s="73" t="s">
        <v>44</v>
      </c>
      <c r="U61" s="73"/>
      <c r="V61" s="184">
        <f>MIN((C54+N54+Y54),(P1_In_OOPMax*P1_In_FamMult))</f>
        <v>0</v>
      </c>
      <c r="W61" s="12"/>
      <c r="X61" s="12"/>
      <c r="Y61" s="12"/>
      <c r="Z61" s="12"/>
      <c r="AA61" s="12"/>
      <c r="AB61" s="12"/>
      <c r="AC61" s="12"/>
    </row>
    <row r="62" spans="2:34" ht="15" x14ac:dyDescent="0.25">
      <c r="B62" s="64"/>
      <c r="C62" s="19"/>
      <c r="D62" s="19"/>
      <c r="E62" s="19"/>
      <c r="F62" s="19"/>
      <c r="G62" s="19"/>
      <c r="H62" s="19"/>
      <c r="I62" s="19"/>
      <c r="J62" s="19"/>
      <c r="K62" s="19"/>
      <c r="L62" s="19"/>
      <c r="M62" s="16"/>
      <c r="N62" s="16"/>
      <c r="O62" s="16"/>
      <c r="P62" s="16"/>
      <c r="Q62" s="16"/>
      <c r="R62" s="16"/>
      <c r="S62" s="16"/>
      <c r="T62" s="73"/>
      <c r="U62" s="16"/>
      <c r="V62" s="65"/>
      <c r="W62" s="16"/>
      <c r="X62" s="16"/>
      <c r="Y62" s="16"/>
      <c r="Z62" s="16"/>
      <c r="AA62" s="16"/>
      <c r="AB62" s="16"/>
      <c r="AC62" s="16"/>
    </row>
    <row r="63" spans="2:34" ht="15.75" x14ac:dyDescent="0.25">
      <c r="C63" s="1"/>
      <c r="D63" s="1"/>
      <c r="E63" s="1"/>
      <c r="F63" s="1"/>
      <c r="G63" s="1"/>
      <c r="H63" s="1"/>
      <c r="I63" s="1"/>
      <c r="J63" s="1"/>
      <c r="K63" s="1"/>
      <c r="L63" s="1"/>
      <c r="M63" s="47"/>
      <c r="X63" s="47"/>
      <c r="AA63" s="46"/>
      <c r="AB63" s="46"/>
      <c r="AC63" s="46"/>
      <c r="AD63" s="46"/>
      <c r="AE63" s="13"/>
    </row>
    <row r="64" spans="2:34" ht="15.75" x14ac:dyDescent="0.25">
      <c r="B64" s="48"/>
      <c r="C64" s="215" t="s">
        <v>3</v>
      </c>
      <c r="D64" s="215"/>
      <c r="E64" s="215"/>
      <c r="F64" s="215"/>
      <c r="G64" s="215"/>
      <c r="H64" s="215"/>
      <c r="I64" s="215"/>
      <c r="J64" s="215"/>
      <c r="K64" s="215"/>
      <c r="L64" s="49"/>
      <c r="M64" s="50"/>
      <c r="N64" s="215" t="s">
        <v>4</v>
      </c>
      <c r="O64" s="215"/>
      <c r="P64" s="215"/>
      <c r="Q64" s="215"/>
      <c r="R64" s="215"/>
      <c r="S64" s="215"/>
      <c r="T64" s="215"/>
      <c r="U64" s="215"/>
      <c r="V64" s="215"/>
      <c r="W64" s="49"/>
      <c r="X64" s="50"/>
      <c r="Y64" s="215" t="s">
        <v>7</v>
      </c>
      <c r="Z64" s="215"/>
      <c r="AA64" s="215"/>
      <c r="AB64" s="215"/>
      <c r="AC64" s="215"/>
      <c r="AD64" s="215"/>
      <c r="AE64" s="215"/>
      <c r="AF64" s="215"/>
      <c r="AG64" s="215"/>
      <c r="AH64" s="215"/>
    </row>
    <row r="65" spans="1:34" ht="33.75" customHeight="1" x14ac:dyDescent="0.25">
      <c r="B65" s="48"/>
      <c r="C65" s="214" t="s">
        <v>18</v>
      </c>
      <c r="D65" s="214"/>
      <c r="E65" s="214" t="s">
        <v>19</v>
      </c>
      <c r="F65" s="214"/>
      <c r="G65" s="216" t="s">
        <v>20</v>
      </c>
      <c r="H65" s="216"/>
      <c r="I65" s="214" t="s">
        <v>21</v>
      </c>
      <c r="J65" s="214"/>
      <c r="K65" s="214" t="s">
        <v>22</v>
      </c>
      <c r="L65" s="214"/>
      <c r="M65" s="50"/>
      <c r="N65" s="214" t="s">
        <v>18</v>
      </c>
      <c r="O65" s="214"/>
      <c r="P65" s="214" t="s">
        <v>19</v>
      </c>
      <c r="Q65" s="214"/>
      <c r="R65" s="216" t="s">
        <v>20</v>
      </c>
      <c r="S65" s="216"/>
      <c r="T65" s="214" t="s">
        <v>21</v>
      </c>
      <c r="U65" s="214"/>
      <c r="V65" s="214" t="s">
        <v>22</v>
      </c>
      <c r="W65" s="214"/>
      <c r="X65" s="50"/>
      <c r="Y65" s="214" t="s">
        <v>18</v>
      </c>
      <c r="Z65" s="214"/>
      <c r="AA65" s="214" t="s">
        <v>19</v>
      </c>
      <c r="AB65" s="214"/>
      <c r="AC65" s="216" t="s">
        <v>20</v>
      </c>
      <c r="AD65" s="216"/>
      <c r="AE65" s="214" t="s">
        <v>21</v>
      </c>
      <c r="AF65" s="214"/>
      <c r="AG65" s="214" t="s">
        <v>22</v>
      </c>
      <c r="AH65" s="214"/>
    </row>
    <row r="66" spans="1:34" ht="14.25" x14ac:dyDescent="0.2">
      <c r="B66" s="51"/>
      <c r="C66" s="212" t="s">
        <v>23</v>
      </c>
      <c r="D66" s="212"/>
      <c r="E66" s="212" t="s">
        <v>23</v>
      </c>
      <c r="F66" s="212"/>
      <c r="G66" s="212" t="s">
        <v>23</v>
      </c>
      <c r="H66" s="212"/>
      <c r="I66" s="212" t="s">
        <v>23</v>
      </c>
      <c r="J66" s="212"/>
      <c r="K66" s="212" t="s">
        <v>23</v>
      </c>
      <c r="L66" s="212"/>
      <c r="M66" s="52"/>
      <c r="N66" s="212" t="s">
        <v>23</v>
      </c>
      <c r="O66" s="212"/>
      <c r="P66" s="212" t="s">
        <v>23</v>
      </c>
      <c r="Q66" s="212"/>
      <c r="R66" s="212" t="s">
        <v>23</v>
      </c>
      <c r="S66" s="212"/>
      <c r="T66" s="212" t="s">
        <v>23</v>
      </c>
      <c r="U66" s="212"/>
      <c r="V66" s="212" t="s">
        <v>23</v>
      </c>
      <c r="W66" s="212"/>
      <c r="X66" s="52"/>
      <c r="Y66" s="212" t="s">
        <v>23</v>
      </c>
      <c r="Z66" s="212"/>
      <c r="AA66" s="212" t="s">
        <v>23</v>
      </c>
      <c r="AB66" s="212"/>
      <c r="AC66" s="212" t="s">
        <v>23</v>
      </c>
      <c r="AD66" s="212"/>
      <c r="AE66" s="212" t="s">
        <v>23</v>
      </c>
      <c r="AF66" s="212"/>
      <c r="AG66" s="212" t="s">
        <v>23</v>
      </c>
      <c r="AH66" s="212"/>
    </row>
    <row r="67" spans="1:34" ht="14.25" x14ac:dyDescent="0.2">
      <c r="B67" s="51"/>
      <c r="C67" s="19" t="s">
        <v>24</v>
      </c>
      <c r="D67" s="19" t="s">
        <v>25</v>
      </c>
      <c r="E67" s="19" t="s">
        <v>24</v>
      </c>
      <c r="F67" s="19" t="s">
        <v>25</v>
      </c>
      <c r="G67" s="19" t="s">
        <v>24</v>
      </c>
      <c r="H67" s="19" t="s">
        <v>25</v>
      </c>
      <c r="I67" s="19" t="s">
        <v>24</v>
      </c>
      <c r="J67" s="19" t="s">
        <v>25</v>
      </c>
      <c r="K67" s="19" t="s">
        <v>24</v>
      </c>
      <c r="L67" s="19" t="s">
        <v>25</v>
      </c>
      <c r="M67" s="52"/>
      <c r="N67" s="19" t="s">
        <v>24</v>
      </c>
      <c r="O67" s="19" t="s">
        <v>25</v>
      </c>
      <c r="P67" s="19" t="s">
        <v>24</v>
      </c>
      <c r="Q67" s="19" t="s">
        <v>25</v>
      </c>
      <c r="R67" s="19" t="s">
        <v>24</v>
      </c>
      <c r="S67" s="19" t="s">
        <v>25</v>
      </c>
      <c r="T67" s="19" t="s">
        <v>24</v>
      </c>
      <c r="U67" s="19" t="s">
        <v>25</v>
      </c>
      <c r="V67" s="19" t="s">
        <v>24</v>
      </c>
      <c r="W67" s="19" t="s">
        <v>25</v>
      </c>
      <c r="X67" s="52"/>
      <c r="Y67" s="19" t="s">
        <v>24</v>
      </c>
      <c r="Z67" s="19" t="s">
        <v>25</v>
      </c>
      <c r="AA67" s="19" t="s">
        <v>24</v>
      </c>
      <c r="AB67" s="19" t="s">
        <v>25</v>
      </c>
      <c r="AC67" s="19" t="s">
        <v>24</v>
      </c>
      <c r="AD67" s="19" t="s">
        <v>25</v>
      </c>
      <c r="AE67" s="19" t="s">
        <v>24</v>
      </c>
      <c r="AF67" s="19" t="s">
        <v>25</v>
      </c>
      <c r="AG67" s="19" t="s">
        <v>24</v>
      </c>
      <c r="AH67" s="19" t="s">
        <v>25</v>
      </c>
    </row>
    <row r="68" spans="1:34" ht="15.75" customHeight="1" x14ac:dyDescent="0.25">
      <c r="B68" s="53" t="s">
        <v>26</v>
      </c>
      <c r="C68" s="54">
        <f>IF('Plan Comparison Calculator'!$G$11=FALSE,0,IF('Plan Comparison Calculator'!$F$11="In-Network",3*P2_In_OV+P2_In_Maternity_IP_Copay,""))</f>
        <v>0</v>
      </c>
      <c r="D68" s="55">
        <f>IF('Plan Comparison Calculator'!$G$11=FALSE,0,IF('Plan Comparison Calculator'!$F$11="PLUS ONLY Out-of-Network",3*P2_Out_OV+P2_Out_Maternity_IP_Copay,""))</f>
        <v>0</v>
      </c>
      <c r="E68" s="54">
        <f>IF('Plan Comparison Calculator'!$G$11=FALSE,0,IF('Plan Comparison Calculator'!$F$11="In-Network",Maternity_Office,""))</f>
        <v>0</v>
      </c>
      <c r="F68" s="55">
        <f>IF('Plan Comparison Calculator'!$G$11=FALSE,0,IF('Plan Comparison Calculator'!$F$11="PLUS ONLY Out-of-Network",Maternity_Office*OONCostLoad,""))</f>
        <v>0</v>
      </c>
      <c r="G68" s="54">
        <f>IF('Plan Comparison Calculator'!$G$11=FALSE,0,IF('Plan Comparison Calculator'!$F$11="In-Network",Maternity_XrayLab,""))</f>
        <v>0</v>
      </c>
      <c r="H68" s="55">
        <f>IF('Plan Comparison Calculator'!$G$11=FALSE,0,IF('Plan Comparison Calculator'!$F$11="PLUS ONLY Out-of-Network",Maternity_XrayLab*OONCostLoad,""))</f>
        <v>0</v>
      </c>
      <c r="I68" s="54">
        <f>IF('Plan Comparison Calculator'!$G$11=FALSE,0,IF('Plan Comparison Calculator'!$F$11="In-Network",Maternity_Facility,""))</f>
        <v>0</v>
      </c>
      <c r="J68" s="55">
        <f>IF('Plan Comparison Calculator'!$G$11=FALSE,0,IF('Plan Comparison Calculator'!$F$11="PLUS ONLY Out-of-Network",Maternity_Facility*OONCostLoad,""))</f>
        <v>0</v>
      </c>
      <c r="K68" s="54">
        <f>IF('Plan Comparison Calculator'!$G$11=FALSE,0,IF('Plan Comparison Calculator'!$F$11="In-Network",Maternity_Physician,""))</f>
        <v>0</v>
      </c>
      <c r="L68" s="55">
        <f>IF('Plan Comparison Calculator'!$G$11=FALSE,0,IF('Plan Comparison Calculator'!$F$11="PLUS ONLY Out-of-Network",Maternity_Physician*OONCostLoad,""))</f>
        <v>0</v>
      </c>
      <c r="M68" s="52"/>
      <c r="N68" s="54">
        <f>IF('Plan Comparison Calculator'!$I$11=FALSE,0,IF('Plan Comparison Calculator'!$F$11="In-Network",3*P2_In_OV+P2_In_Maternity_IP_Copay,""))</f>
        <v>0</v>
      </c>
      <c r="O68" s="55">
        <f>IF('Plan Comparison Calculator'!$I$11=FALSE,0,IF('Plan Comparison Calculator'!$F$11="PLUS ONLY Out-of-Network",3*P2_Out_OV+P2_Out_Maternity_IP_Copay,""))</f>
        <v>0</v>
      </c>
      <c r="P68" s="54">
        <f>IF('Plan Comparison Calculator'!$I$11=FALSE,0,IF('Plan Comparison Calculator'!$F$11="In-Network",Maternity_Office,""))</f>
        <v>0</v>
      </c>
      <c r="Q68" s="55">
        <f>IF('Plan Comparison Calculator'!$I$11=FALSE,0,IF('Plan Comparison Calculator'!$F$11="PLUS ONLY Out-of-Network",Maternity_Office*OONCostLoad,""))</f>
        <v>0</v>
      </c>
      <c r="R68" s="54">
        <f>IF('Plan Comparison Calculator'!$I$11=FALSE,0,IF('Plan Comparison Calculator'!$F$11="In-Network",Maternity_XrayLab,""))</f>
        <v>0</v>
      </c>
      <c r="S68" s="55">
        <f>IF('Plan Comparison Calculator'!$I$11=FALSE,0,IF('Plan Comparison Calculator'!$F$11="PLUS ONLY Out-of-Network",Maternity_XrayLab*OONCostLoad,""))</f>
        <v>0</v>
      </c>
      <c r="T68" s="54">
        <f>IF('Plan Comparison Calculator'!$I$11=FALSE,0,IF('Plan Comparison Calculator'!$F$11="In-Network",Maternity_Facility,""))</f>
        <v>0</v>
      </c>
      <c r="U68" s="55">
        <f>IF('Plan Comparison Calculator'!$I$11=FALSE,0,IF('Plan Comparison Calculator'!$F$11="PLUS ONLY Out-of-Network",Maternity_Facility*OONCostLoad,""))</f>
        <v>0</v>
      </c>
      <c r="V68" s="54">
        <f>IF('Plan Comparison Calculator'!$I$11=FALSE,0,IF('Plan Comparison Calculator'!$F$11="In-Network",Maternity_Physician,""))</f>
        <v>0</v>
      </c>
      <c r="W68" s="55">
        <f>IF('Plan Comparison Calculator'!$I$11=FALSE,0,IF('Plan Comparison Calculator'!$F$11="PLUS ONLY Out-of-Network",Maternity_Physician*OONCostLoad,""))</f>
        <v>0</v>
      </c>
      <c r="X68" s="52"/>
      <c r="Y68" s="54"/>
      <c r="Z68" s="55"/>
      <c r="AA68" s="54"/>
      <c r="AB68" s="55"/>
      <c r="AC68" s="54"/>
      <c r="AD68" s="55"/>
      <c r="AE68" s="54">
        <f>IF('Plan Comparison Calculator'!F11="In-Network",IF(AND('Plan Comparison Calculator'!$G$11=FALSE,'Plan Comparison Calculator'!$I$11=FALSE),0,Baby_Facility),0)</f>
        <v>0</v>
      </c>
      <c r="AF68" s="55">
        <f>IF(AND('Plan Comparison Calculator'!$I$11=FALSE,'Plan Comparison Calculator'!$G$11=FALSE),0,IF('Plan Comparison Calculator'!$F$11="PLUS ONLY Out-of-Network",Baby_Facility*OONCostLoad,""))</f>
        <v>0</v>
      </c>
      <c r="AG68" s="54">
        <f>IF('Plan Comparison Calculator'!F11="In-Network",IF(AND('Plan Comparison Calculator'!$G$11=FALSE,'Plan Comparison Calculator'!$I$11=FALSE),0,Baby_Physician),0)</f>
        <v>0</v>
      </c>
      <c r="AH68" s="55">
        <f>IF(AND('Plan Comparison Calculator'!$I$11=FALSE,'Plan Comparison Calculator'!$G$11=FALSE),0,IF('Plan Comparison Calculator'!$F$11="PLUS ONLY Out-of-Network",Baby_Physician*OONCostLoad,""))</f>
        <v>0</v>
      </c>
    </row>
    <row r="69" spans="1:34" ht="15.75" customHeight="1" x14ac:dyDescent="0.25">
      <c r="B69" s="53"/>
      <c r="C69" s="54"/>
      <c r="D69" s="55"/>
      <c r="E69" s="54"/>
      <c r="F69" s="55"/>
      <c r="G69" s="54"/>
      <c r="H69" s="55"/>
      <c r="I69" s="54"/>
      <c r="J69" s="55"/>
      <c r="K69" s="54"/>
      <c r="L69" s="55"/>
      <c r="M69" s="52"/>
      <c r="N69" s="54"/>
      <c r="O69" s="55"/>
      <c r="P69" s="54"/>
      <c r="Q69" s="55"/>
      <c r="R69" s="54"/>
      <c r="S69" s="55"/>
      <c r="T69" s="54"/>
      <c r="U69" s="55"/>
      <c r="V69" s="54"/>
      <c r="W69" s="55"/>
      <c r="X69" s="52"/>
      <c r="Y69" s="54"/>
      <c r="Z69" s="55"/>
      <c r="AA69" s="54"/>
      <c r="AB69" s="55"/>
      <c r="AC69" s="54"/>
      <c r="AD69" s="55"/>
      <c r="AE69" s="54"/>
      <c r="AF69" s="55"/>
      <c r="AG69" s="54"/>
      <c r="AH69" s="55"/>
    </row>
    <row r="70" spans="1:34" ht="3.75" customHeight="1" x14ac:dyDescent="0.25">
      <c r="B70" s="53"/>
      <c r="C70" s="54"/>
      <c r="D70" s="55"/>
      <c r="E70" s="54"/>
      <c r="F70" s="55"/>
      <c r="G70" s="54"/>
      <c r="H70" s="55"/>
      <c r="I70" s="54"/>
      <c r="J70" s="55"/>
      <c r="K70" s="54"/>
      <c r="L70" s="55"/>
      <c r="M70" s="52"/>
      <c r="N70" s="54"/>
      <c r="O70" s="55"/>
      <c r="P70" s="54"/>
      <c r="Q70" s="55"/>
      <c r="R70" s="54"/>
      <c r="S70" s="55"/>
      <c r="T70" s="54"/>
      <c r="U70" s="55"/>
      <c r="V70" s="54"/>
      <c r="W70" s="55"/>
      <c r="X70" s="52"/>
      <c r="Y70" s="54"/>
      <c r="Z70" s="55"/>
      <c r="AA70" s="54"/>
      <c r="AB70" s="55"/>
      <c r="AC70" s="54"/>
      <c r="AD70" s="55"/>
      <c r="AE70" s="54"/>
      <c r="AF70" s="55"/>
      <c r="AG70" s="54"/>
      <c r="AH70" s="55"/>
    </row>
    <row r="71" spans="1:34" ht="3.75" customHeight="1" x14ac:dyDescent="0.25">
      <c r="B71" s="53"/>
      <c r="C71" s="54"/>
      <c r="D71" s="55"/>
      <c r="E71" s="54"/>
      <c r="F71" s="55"/>
      <c r="G71" s="54"/>
      <c r="H71" s="55"/>
      <c r="I71" s="54"/>
      <c r="J71" s="55"/>
      <c r="K71" s="54"/>
      <c r="L71" s="55"/>
      <c r="M71" s="52"/>
      <c r="N71" s="54"/>
      <c r="O71" s="55"/>
      <c r="P71" s="54"/>
      <c r="Q71" s="55"/>
      <c r="R71" s="54"/>
      <c r="S71" s="55"/>
      <c r="T71" s="54"/>
      <c r="U71" s="55"/>
      <c r="V71" s="54"/>
      <c r="W71" s="55"/>
      <c r="X71" s="52"/>
      <c r="Y71" s="54"/>
      <c r="Z71" s="55"/>
      <c r="AA71" s="54"/>
      <c r="AB71" s="55"/>
      <c r="AC71" s="54"/>
      <c r="AD71" s="55"/>
      <c r="AE71" s="54"/>
      <c r="AF71" s="55"/>
      <c r="AG71" s="54"/>
      <c r="AH71" s="55"/>
    </row>
    <row r="72" spans="1:34" ht="3.75" customHeight="1" x14ac:dyDescent="0.25">
      <c r="B72" s="53"/>
      <c r="C72" s="54"/>
      <c r="D72" s="55"/>
      <c r="E72" s="54"/>
      <c r="F72" s="55"/>
      <c r="G72" s="54"/>
      <c r="H72" s="55"/>
      <c r="I72" s="54"/>
      <c r="J72" s="55"/>
      <c r="K72" s="54"/>
      <c r="L72" s="55"/>
      <c r="M72" s="52"/>
      <c r="N72" s="54"/>
      <c r="O72" s="55"/>
      <c r="P72" s="54"/>
      <c r="Q72" s="55"/>
      <c r="R72" s="54"/>
      <c r="S72" s="55"/>
      <c r="T72" s="54"/>
      <c r="U72" s="55"/>
      <c r="V72" s="54"/>
      <c r="W72" s="55"/>
      <c r="X72" s="52"/>
      <c r="Y72" s="54"/>
      <c r="Z72" s="55"/>
      <c r="AA72" s="54"/>
      <c r="AB72" s="55"/>
      <c r="AC72" s="54"/>
      <c r="AD72" s="55"/>
      <c r="AE72" s="54"/>
      <c r="AF72" s="55"/>
      <c r="AG72" s="54"/>
      <c r="AH72" s="55"/>
    </row>
    <row r="73" spans="1:34" ht="3.75" customHeight="1" x14ac:dyDescent="0.25">
      <c r="B73" s="53"/>
      <c r="C73" s="54"/>
      <c r="D73" s="55"/>
      <c r="E73" s="54"/>
      <c r="F73" s="55"/>
      <c r="G73" s="54"/>
      <c r="H73" s="55"/>
      <c r="I73" s="54"/>
      <c r="J73" s="55"/>
      <c r="K73" s="54"/>
      <c r="L73" s="55"/>
      <c r="M73" s="52"/>
      <c r="N73" s="54"/>
      <c r="O73" s="55"/>
      <c r="P73" s="54"/>
      <c r="Q73" s="55"/>
      <c r="R73" s="54"/>
      <c r="S73" s="55"/>
      <c r="T73" s="54"/>
      <c r="U73" s="55"/>
      <c r="V73" s="54"/>
      <c r="W73" s="55"/>
      <c r="X73" s="52"/>
      <c r="Y73" s="54"/>
      <c r="Z73" s="55"/>
      <c r="AA73" s="54"/>
      <c r="AB73" s="55"/>
      <c r="AC73" s="54"/>
      <c r="AD73" s="55"/>
      <c r="AE73" s="54"/>
      <c r="AF73" s="55"/>
      <c r="AG73" s="54"/>
      <c r="AH73" s="55"/>
    </row>
    <row r="74" spans="1:34" ht="15" x14ac:dyDescent="0.25">
      <c r="B74" s="53" t="s">
        <v>27</v>
      </c>
      <c r="C74" s="54">
        <f>IF('Plan Comparison Calculator'!$F$17="In-Network",'Plan Comparison Calculator'!$G$17*P2_In_OV,0)*0</f>
        <v>0</v>
      </c>
      <c r="D74" s="55">
        <f>IF('Plan Comparison Calculator'!$F$17="PLUS ONLY Out-of-Network",'Plan Comparison Calculator'!$G$17*P2_Out_OV,0)</f>
        <v>0</v>
      </c>
      <c r="E74" s="54">
        <f>IF('Plan Comparison Calculator'!$F$17="In-Network",'Plan Comparison Calculator'!$G$17*Physical_Office-C74,"")</f>
        <v>0</v>
      </c>
      <c r="F74" s="55" t="str">
        <f>IF('Plan Comparison Calculator'!$F$17="PLUS ONLY Out-of-Network",'Plan Comparison Calculator'!$G$17*Physical_Office*OONCostLoad-D74,"")</f>
        <v/>
      </c>
      <c r="G74" s="54">
        <f>IF('Plan Comparison Calculator'!$F$17="In-Network",'Plan Comparison Calculator'!$G$17*Physical_XrayLab,"")</f>
        <v>0</v>
      </c>
      <c r="H74" s="55" t="str">
        <f>IF('Plan Comparison Calculator'!$F$17="PLUS ONLY Out-of-Network",'Plan Comparison Calculator'!$G$17*Physical_XrayLab*OONCostLoad,"")</f>
        <v/>
      </c>
      <c r="I74" s="54"/>
      <c r="J74" s="55"/>
      <c r="K74" s="54"/>
      <c r="L74" s="55"/>
      <c r="M74" s="52"/>
      <c r="N74" s="54">
        <f>IF('Plan Comparison Calculator'!$F$17="In-Network",'Plan Comparison Calculator'!$I$17*P2_In_OV,0)*0</f>
        <v>0</v>
      </c>
      <c r="O74" s="55">
        <f>IF('Plan Comparison Calculator'!$F$17="PLUS ONLY Out-of-Network",'Plan Comparison Calculator'!$I$17*P2_Out_OV,0)</f>
        <v>0</v>
      </c>
      <c r="P74" s="54">
        <f>IF('Plan Comparison Calculator'!$F$17="In-Network",'Plan Comparison Calculator'!$I$17*Physical_Office-N74,"")</f>
        <v>0</v>
      </c>
      <c r="Q74" s="55" t="str">
        <f>IF('Plan Comparison Calculator'!$F$17="PLUS ONLY Out-of-Network",'Plan Comparison Calculator'!$I$17*Physical_Office*OONCostLoad-O74,"")</f>
        <v/>
      </c>
      <c r="R74" s="54">
        <f>IF('Plan Comparison Calculator'!$F$17="In-Network",'Plan Comparison Calculator'!$I$17*Physical_XrayLab,"")</f>
        <v>0</v>
      </c>
      <c r="S74" s="55" t="str">
        <f>IF('Plan Comparison Calculator'!$F$17="PLUS ONLY Out-of-Network",'Plan Comparison Calculator'!$I$17*Physical_XrayLab*OONCostLoad,"")</f>
        <v/>
      </c>
      <c r="T74" s="54"/>
      <c r="U74" s="55"/>
      <c r="V74" s="54"/>
      <c r="W74" s="55"/>
      <c r="X74" s="52"/>
      <c r="Y74" s="54">
        <f>IF('Plan Comparison Calculator'!$F$17="In-Network",'Plan Comparison Calculator'!$J$17*P2_In_OV,0)*0</f>
        <v>0</v>
      </c>
      <c r="Z74" s="55">
        <f>IF('Plan Comparison Calculator'!$F$17="PLUS ONLY Out-of-Network",'Plan Comparison Calculator'!$J$17*P2_Out_OV,0)</f>
        <v>0</v>
      </c>
      <c r="AA74" s="54">
        <f>IF('Plan Comparison Calculator'!$F$17="In-Network",'Plan Comparison Calculator'!$J$17*Physical_Office-Y74,"")</f>
        <v>0</v>
      </c>
      <c r="AB74" s="55" t="str">
        <f>IF('Plan Comparison Calculator'!$F$17="PLUS ONLY Out-of-Network",'Plan Comparison Calculator'!$J$17*Physical_Office*OONCostLoad-Z74,"")</f>
        <v/>
      </c>
      <c r="AC74" s="54">
        <f>IF('Plan Comparison Calculator'!$F$17="In-Network",'Plan Comparison Calculator'!$J$17*Physical_XrayLab,"")</f>
        <v>0</v>
      </c>
      <c r="AD74" s="55" t="str">
        <f>IF('Plan Comparison Calculator'!$F$17="PLUS ONLY Out-of-Network",'Plan Comparison Calculator'!$J$17*Physical_XrayLab*OONCostLoad,"")</f>
        <v/>
      </c>
      <c r="AE74" s="54"/>
      <c r="AF74" s="55"/>
      <c r="AG74" s="54"/>
      <c r="AH74" s="55"/>
    </row>
    <row r="75" spans="1:34" ht="4.5" customHeight="1" x14ac:dyDescent="0.25">
      <c r="B75" s="53"/>
      <c r="C75" s="54"/>
      <c r="D75" s="55"/>
      <c r="E75" s="54"/>
      <c r="F75" s="55"/>
      <c r="G75" s="54"/>
      <c r="H75" s="55"/>
      <c r="I75" s="54"/>
      <c r="J75" s="55"/>
      <c r="K75" s="54"/>
      <c r="L75" s="55"/>
      <c r="M75" s="52"/>
      <c r="N75" s="54"/>
      <c r="O75" s="55"/>
      <c r="P75" s="54"/>
      <c r="Q75" s="55"/>
      <c r="R75" s="54"/>
      <c r="S75" s="55"/>
      <c r="T75" s="54"/>
      <c r="U75" s="55"/>
      <c r="V75" s="54"/>
      <c r="W75" s="55"/>
      <c r="X75" s="52"/>
      <c r="Y75" s="54"/>
      <c r="Z75" s="55"/>
      <c r="AA75" s="54"/>
      <c r="AB75" s="55"/>
      <c r="AC75" s="54"/>
      <c r="AD75" s="55"/>
      <c r="AE75" s="54"/>
      <c r="AF75" s="55"/>
      <c r="AG75" s="54"/>
      <c r="AH75" s="55"/>
    </row>
    <row r="76" spans="1:34" ht="15" x14ac:dyDescent="0.25">
      <c r="B76" s="53" t="s">
        <v>28</v>
      </c>
      <c r="C76" s="54">
        <f>'Plan Comparison Calculator'!$G$19*P1_In_Ov</f>
        <v>0</v>
      </c>
      <c r="D76" s="55" t="str">
        <f>IF('Plan Comparison Calculator'!$F$19="PLUS ONLY Out-of-Network",'Plan Comparison Calculator'!$G$19*P2_Out_OV,"")</f>
        <v/>
      </c>
      <c r="E76" s="54">
        <f>IF('Plan Comparison Calculator'!$F$19="In-Network",'Plan Comparison Calculator'!$G$19*Primary_Office-C76,"")</f>
        <v>0</v>
      </c>
      <c r="F76" s="55" t="str">
        <f>IF('Plan Comparison Calculator'!$F$19="PLUS ONLY Out-of-Network",'Plan Comparison Calculator'!$G$19*Primary_Office*OONCostLoad-D76,"")</f>
        <v/>
      </c>
      <c r="G76" s="54">
        <f>IF('Plan Comparison Calculator'!$F$19="In-Network",'Plan Comparison Calculator'!$G$19*Primary_XrayLab,"")</f>
        <v>0</v>
      </c>
      <c r="H76" s="55" t="str">
        <f>IF('Plan Comparison Calculator'!$F$19="PLUS ONLY Out-of-Network",'Plan Comparison Calculator'!$G$19*Primary_XrayLab*OONCostLoad,"")</f>
        <v/>
      </c>
      <c r="I76" s="54"/>
      <c r="J76" s="55"/>
      <c r="K76" s="54"/>
      <c r="L76" s="55"/>
      <c r="M76" s="52"/>
      <c r="N76" s="54">
        <f>'Plan Comparison Calculator'!$I$19*P1_In_Ov</f>
        <v>0</v>
      </c>
      <c r="O76" s="55" t="str">
        <f>IF('Plan Comparison Calculator'!$F$19="PLUS ONLY Out-of-Network",'Plan Comparison Calculator'!$I$19*P2_Out_OV,"")</f>
        <v/>
      </c>
      <c r="P76" s="54">
        <f>IF('Plan Comparison Calculator'!$F$19="In-Network",'Plan Comparison Calculator'!$I$19*Primary_Office-N76,"")</f>
        <v>0</v>
      </c>
      <c r="Q76" s="55" t="str">
        <f>IF('Plan Comparison Calculator'!$F$19="PLUS ONLY Out-of-Network",'Plan Comparison Calculator'!$I$19*Primary_Office*OONCostLoad-O76,"")</f>
        <v/>
      </c>
      <c r="R76" s="54">
        <f>IF('Plan Comparison Calculator'!$F$19="In-Network",'Plan Comparison Calculator'!$I$19*Primary_XrayLab,"")</f>
        <v>0</v>
      </c>
      <c r="S76" s="55" t="str">
        <f>IF('Plan Comparison Calculator'!$F$19="PLUS ONLY Out-of-Network",'Plan Comparison Calculator'!$I$19*Primary_XrayLab*OONCostLoad,"")</f>
        <v/>
      </c>
      <c r="T76" s="54"/>
      <c r="U76" s="55"/>
      <c r="V76" s="54"/>
      <c r="W76" s="55"/>
      <c r="X76" s="52"/>
      <c r="Y76" s="54">
        <f>'Plan Comparison Calculator'!$J$19*P1_In_Ov</f>
        <v>0</v>
      </c>
      <c r="Z76" s="55" t="str">
        <f>IF('Plan Comparison Calculator'!$F$19="PLUS ONLY Out-of-Network",'Plan Comparison Calculator'!$J$19*P2_Out_OV,"")</f>
        <v/>
      </c>
      <c r="AA76" s="54">
        <f>IF('Plan Comparison Calculator'!$F$19="In-Network",'Plan Comparison Calculator'!$J$19*Primary_Office-Y76,"")</f>
        <v>0</v>
      </c>
      <c r="AB76" s="55" t="str">
        <f>IF('Plan Comparison Calculator'!$F$19="PLUS ONLY Out-of-Network",'Plan Comparison Calculator'!$J$19*Primary_Office*OONCostLoad-Z76,"")</f>
        <v/>
      </c>
      <c r="AC76" s="54">
        <f>IF('Plan Comparison Calculator'!$F$19="In-Network",'Plan Comparison Calculator'!$J$19*Primary_XrayLab,"")</f>
        <v>0</v>
      </c>
      <c r="AD76" s="55" t="str">
        <f>IF('Plan Comparison Calculator'!$F$19="PLUS ONLY Out-of-Network",'Plan Comparison Calculator'!$J$19*Primary_XrayLab*OONCostLoad,"")</f>
        <v/>
      </c>
      <c r="AE76" s="54"/>
      <c r="AF76" s="55"/>
      <c r="AG76" s="54"/>
      <c r="AH76" s="55"/>
    </row>
    <row r="77" spans="1:34" ht="15" x14ac:dyDescent="0.25">
      <c r="B77" s="53"/>
      <c r="C77" s="54"/>
      <c r="D77" s="55"/>
      <c r="E77" s="54"/>
      <c r="F77" s="55"/>
      <c r="G77" s="54"/>
      <c r="H77" s="55"/>
      <c r="I77" s="54"/>
      <c r="J77" s="55"/>
      <c r="K77" s="54"/>
      <c r="L77" s="55"/>
      <c r="M77" s="52"/>
      <c r="N77" s="54"/>
      <c r="O77" s="55"/>
      <c r="P77" s="54"/>
      <c r="Q77" s="55"/>
      <c r="R77" s="54"/>
      <c r="S77" s="55"/>
      <c r="T77" s="54"/>
      <c r="U77" s="55"/>
      <c r="V77" s="54"/>
      <c r="W77" s="55"/>
      <c r="X77" s="52"/>
      <c r="Y77" s="54"/>
      <c r="Z77" s="55"/>
      <c r="AA77" s="54"/>
      <c r="AB77" s="55"/>
      <c r="AC77" s="54"/>
      <c r="AD77" s="55"/>
      <c r="AE77" s="54"/>
      <c r="AF77" s="55"/>
      <c r="AG77" s="54"/>
      <c r="AH77" s="55"/>
    </row>
    <row r="78" spans="1:34" ht="15" x14ac:dyDescent="0.25">
      <c r="A78" s="213" t="str">
        <f>P2_Plan</f>
        <v>Access PPO</v>
      </c>
      <c r="B78" s="53" t="s">
        <v>29</v>
      </c>
      <c r="C78" s="54">
        <f>'Plan Comparison Calculator'!$G$21*P1_In_Ov</f>
        <v>0</v>
      </c>
      <c r="D78" s="55" t="str">
        <f>IF('Plan Comparison Calculator'!$F$21="PLUS ONLY Out-of-Network",'Plan Comparison Calculator'!$G$21*P2_Out_OV,"")</f>
        <v/>
      </c>
      <c r="E78" s="54">
        <f>IF('Plan Comparison Calculator'!$F$21="In-Network",Specialist_Office*'Plan Comparison Calculator'!$G$21-C78,"")</f>
        <v>0</v>
      </c>
      <c r="F78" s="55" t="str">
        <f>IF('Plan Comparison Calculator'!$F$21="PLUS ONLY Out-of-Network",Specialist_Office*'Plan Comparison Calculator'!$G$21*OONCostLoad-D78,"")</f>
        <v/>
      </c>
      <c r="G78" s="54">
        <f>IF('Plan Comparison Calculator'!$F$21="In-Network",Specialist_XrayLab*'Plan Comparison Calculator'!$G$21,"")</f>
        <v>0</v>
      </c>
      <c r="H78" s="55" t="str">
        <f>IF('Plan Comparison Calculator'!$F$21="PLUS ONLY Out-of-Network",Specialist_XrayLab*'Plan Comparison Calculator'!$G$21*OONCostLoad,"")</f>
        <v/>
      </c>
      <c r="I78" s="54"/>
      <c r="J78" s="55"/>
      <c r="K78" s="54"/>
      <c r="L78" s="55"/>
      <c r="M78" s="52"/>
      <c r="N78" s="54">
        <f>'Plan Comparison Calculator'!$I$21*P1_In_Ov</f>
        <v>0</v>
      </c>
      <c r="O78" s="55" t="str">
        <f>IF('Plan Comparison Calculator'!$F$21="PLUS ONLY Out-of-Network",'Plan Comparison Calculator'!$I$21*P2_Out_OV,"")</f>
        <v/>
      </c>
      <c r="P78" s="54">
        <f>IF('Plan Comparison Calculator'!$F$21="In-Network",Specialist_Office*'Plan Comparison Calculator'!$I$21-N78,"")</f>
        <v>0</v>
      </c>
      <c r="Q78" s="55" t="str">
        <f>IF('Plan Comparison Calculator'!$F$21="PLUS ONLY Out-of-Network",Specialist_Office*'Plan Comparison Calculator'!$I$21*OONCostLoad-O78,"")</f>
        <v/>
      </c>
      <c r="R78" s="54">
        <f>IF('Plan Comparison Calculator'!$F$21="In-Network",Specialist_XrayLab*'Plan Comparison Calculator'!$I$21,"")</f>
        <v>0</v>
      </c>
      <c r="S78" s="55" t="str">
        <f>IF('Plan Comparison Calculator'!$F$21="PLUS ONLY Out-of-Network",Specialist_XrayLab*'Plan Comparison Calculator'!$I$21*OONCostLoad,"")</f>
        <v/>
      </c>
      <c r="T78" s="54"/>
      <c r="U78" s="55"/>
      <c r="V78" s="54"/>
      <c r="W78" s="55"/>
      <c r="X78" s="52"/>
      <c r="Y78" s="54">
        <f>'Plan Comparison Calculator'!$J$19*P1_In_Ov</f>
        <v>0</v>
      </c>
      <c r="Z78" s="55" t="str">
        <f>IF('Plan Comparison Calculator'!$F$21="PLUS ONLY Out-of-Network",'Plan Comparison Calculator'!$J$21*P2_Out_OV,"")</f>
        <v/>
      </c>
      <c r="AA78" s="54">
        <f>IF('Plan Comparison Calculator'!$F$21="In-Network",Specialist_Office*'Plan Comparison Calculator'!$J$21-Y78,"")</f>
        <v>0</v>
      </c>
      <c r="AB78" s="55" t="str">
        <f>IF('Plan Comparison Calculator'!$F$21="PLUS ONLY Out-of-Network",Specialist_Office*'Plan Comparison Calculator'!$J$21*OONCostLoad-Z78,"")</f>
        <v/>
      </c>
      <c r="AC78" s="54">
        <f>IF('Plan Comparison Calculator'!$F$21="In-Network",Specialist_XrayLab*'Plan Comparison Calculator'!$J$21,"")</f>
        <v>0</v>
      </c>
      <c r="AD78" s="55" t="str">
        <f>IF('Plan Comparison Calculator'!$F$21="PLUS ONLY Out-of-Network",Specialist_XrayLab*'Plan Comparison Calculator'!$J$21*OONCostLoad,"")</f>
        <v/>
      </c>
      <c r="AE78" s="54"/>
      <c r="AF78" s="55"/>
      <c r="AG78" s="54"/>
      <c r="AH78" s="55"/>
    </row>
    <row r="79" spans="1:34" ht="4.5" customHeight="1" x14ac:dyDescent="0.25">
      <c r="A79" s="213"/>
      <c r="B79" s="53"/>
      <c r="C79" s="54"/>
      <c r="D79" s="55"/>
      <c r="E79" s="54"/>
      <c r="F79" s="55"/>
      <c r="G79" s="54"/>
      <c r="H79" s="55"/>
      <c r="I79" s="54"/>
      <c r="J79" s="55"/>
      <c r="K79" s="54"/>
      <c r="L79" s="55"/>
      <c r="M79" s="52"/>
      <c r="N79" s="54"/>
      <c r="O79" s="55"/>
      <c r="P79" s="54"/>
      <c r="Q79" s="55"/>
      <c r="R79" s="54"/>
      <c r="S79" s="55"/>
      <c r="T79" s="54"/>
      <c r="U79" s="55"/>
      <c r="V79" s="54"/>
      <c r="W79" s="55"/>
      <c r="X79" s="52"/>
      <c r="Y79" s="54"/>
      <c r="Z79" s="55"/>
      <c r="AA79" s="54"/>
      <c r="AB79" s="55"/>
      <c r="AC79" s="54"/>
      <c r="AD79" s="55"/>
      <c r="AE79" s="54"/>
      <c r="AF79" s="55"/>
      <c r="AG79" s="54"/>
      <c r="AH79" s="55"/>
    </row>
    <row r="80" spans="1:34" ht="15" x14ac:dyDescent="0.25">
      <c r="A80" s="213"/>
      <c r="B80" s="53" t="s">
        <v>30</v>
      </c>
      <c r="C80" s="54">
        <f>IF('Plan Comparison Calculator'!$F$23="In-Network",'Plan Comparison Calculator'!$G$23*P2_In_ER,"")</f>
        <v>0</v>
      </c>
      <c r="D80" s="55" t="str">
        <f>IF('Plan Comparison Calculator'!$F$23="PLUS ONLY Out-of-Network",'Plan Comparison Calculator'!$G$23*P2_Out_ER,"")</f>
        <v/>
      </c>
      <c r="E80" s="54"/>
      <c r="F80" s="55"/>
      <c r="G80" s="54"/>
      <c r="H80" s="55"/>
      <c r="I80" s="54">
        <f>IF('Plan Comparison Calculator'!$F$23="In-Network",ER*'Plan Comparison Calculator'!$G$23-C80,"")</f>
        <v>0</v>
      </c>
      <c r="J80" s="55" t="str">
        <f>IF('Plan Comparison Calculator'!$F$23="PLUS ONLY Out-of-Network",ER*'Plan Comparison Calculator'!$G$23*OONCostLoad-D80,"")</f>
        <v/>
      </c>
      <c r="K80" s="54"/>
      <c r="L80" s="55"/>
      <c r="M80" s="52"/>
      <c r="N80" s="54">
        <f>IF('Plan Comparison Calculator'!$F$23="In-Network",'Plan Comparison Calculator'!$I$23*P2_In_ER,"")</f>
        <v>0</v>
      </c>
      <c r="O80" s="55" t="str">
        <f>IF('Plan Comparison Calculator'!$F$23="PLUS ONLY Out-of-Network",'Plan Comparison Calculator'!$I$23*P2_Out_ER,"")</f>
        <v/>
      </c>
      <c r="P80" s="54"/>
      <c r="Q80" s="55"/>
      <c r="R80" s="54"/>
      <c r="S80" s="55"/>
      <c r="T80" s="54">
        <f>IF('Plan Comparison Calculator'!$F$23="In-Network",ER*'Plan Comparison Calculator'!$I$23-$N80,"")</f>
        <v>0</v>
      </c>
      <c r="U80" s="55" t="str">
        <f>IF('Plan Comparison Calculator'!$F$23="PLUS ONLY Out-of-Network",ER*'Plan Comparison Calculator'!$I$23*OONCostLoad-O80,"")</f>
        <v/>
      </c>
      <c r="V80" s="54"/>
      <c r="W80" s="55"/>
      <c r="X80" s="52"/>
      <c r="Y80" s="54">
        <f>IF('Plan Comparison Calculator'!$F$23="In-Network",'Plan Comparison Calculator'!$J$23*P2_In_ER,"")</f>
        <v>0</v>
      </c>
      <c r="Z80" s="55" t="str">
        <f>IF('Plan Comparison Calculator'!$F$23="PLUS ONLY Out-of-Network",'Plan Comparison Calculator'!$J$23*P2_Out_ER,"")</f>
        <v/>
      </c>
      <c r="AA80" s="54"/>
      <c r="AB80" s="55"/>
      <c r="AC80" s="54"/>
      <c r="AD80" s="55"/>
      <c r="AE80" s="54">
        <f>IF('Plan Comparison Calculator'!$F$23="In-Network",ER*'Plan Comparison Calculator'!$J$23-$Y80,"")</f>
        <v>0</v>
      </c>
      <c r="AF80" s="55" t="str">
        <f>IF('Plan Comparison Calculator'!$F$23="PLUS ONLY Out-of-Network",ER*'Plan Comparison Calculator'!$J$23*OONCostLoad-Z80,"")</f>
        <v/>
      </c>
      <c r="AG80" s="54"/>
      <c r="AH80" s="55"/>
    </row>
    <row r="81" spans="1:34" ht="4.5" customHeight="1" x14ac:dyDescent="0.25">
      <c r="A81" s="213"/>
      <c r="B81" s="53"/>
      <c r="C81" s="54"/>
      <c r="D81" s="55"/>
      <c r="E81" s="54"/>
      <c r="F81" s="55"/>
      <c r="G81" s="54"/>
      <c r="H81" s="55"/>
      <c r="I81" s="54"/>
      <c r="J81" s="55"/>
      <c r="K81" s="54"/>
      <c r="L81" s="55"/>
      <c r="M81" s="52"/>
      <c r="N81" s="54"/>
      <c r="O81" s="55"/>
      <c r="P81" s="54"/>
      <c r="Q81" s="55"/>
      <c r="R81" s="54"/>
      <c r="S81" s="55"/>
      <c r="T81" s="54"/>
      <c r="U81" s="55"/>
      <c r="V81" s="54"/>
      <c r="W81" s="55"/>
      <c r="X81" s="52"/>
      <c r="Y81" s="54"/>
      <c r="Z81" s="55"/>
      <c r="AA81" s="54"/>
      <c r="AB81" s="55"/>
      <c r="AC81" s="54"/>
      <c r="AD81" s="55"/>
      <c r="AE81" s="54"/>
      <c r="AF81" s="55"/>
      <c r="AG81" s="54"/>
      <c r="AH81" s="55"/>
    </row>
    <row r="82" spans="1:34" ht="15" x14ac:dyDescent="0.25">
      <c r="A82" s="213"/>
      <c r="B82" s="53" t="s">
        <v>31</v>
      </c>
      <c r="C82" s="54"/>
      <c r="D82" s="55"/>
      <c r="E82" s="54"/>
      <c r="F82" s="55"/>
      <c r="G82" s="54">
        <f>IF('Plan Comparison Calculator'!$F$25="In-Network",Lab*'Plan Comparison Calculator'!$G$25,"")</f>
        <v>0</v>
      </c>
      <c r="H82" s="55" t="str">
        <f>IF('Plan Comparison Calculator'!$F$25="PLUS ONLY Out-of-Network",Lab*'Plan Comparison Calculator'!$G$25*OONCostLoad,"")</f>
        <v/>
      </c>
      <c r="I82" s="54"/>
      <c r="J82" s="55"/>
      <c r="K82" s="54"/>
      <c r="L82" s="55"/>
      <c r="M82" s="52"/>
      <c r="N82" s="54"/>
      <c r="O82" s="55"/>
      <c r="P82" s="54"/>
      <c r="Q82" s="55"/>
      <c r="R82" s="54">
        <f>IF('Plan Comparison Calculator'!$F$25="In-Network",Lab*'Plan Comparison Calculator'!$I$25,"")</f>
        <v>0</v>
      </c>
      <c r="S82" s="55" t="str">
        <f>IF('Plan Comparison Calculator'!$F$25="PLUS ONLY Out-of-Network",Lab*'Plan Comparison Calculator'!$I$25*OONCostLoad,"")</f>
        <v/>
      </c>
      <c r="T82" s="54"/>
      <c r="U82" s="55"/>
      <c r="V82" s="54"/>
      <c r="W82" s="55"/>
      <c r="X82" s="52"/>
      <c r="Y82" s="54"/>
      <c r="Z82" s="55"/>
      <c r="AA82" s="54"/>
      <c r="AB82" s="55"/>
      <c r="AC82" s="54">
        <f>IF('Plan Comparison Calculator'!$F$25="In-Network",Lab*'Plan Comparison Calculator'!$J$25,"")</f>
        <v>0</v>
      </c>
      <c r="AD82" s="55" t="str">
        <f>IF('Plan Comparison Calculator'!$F$25="PLUS ONLY Out-of-Network",Lab*'Plan Comparison Calculator'!$J$25*OONCostLoad,"")</f>
        <v/>
      </c>
      <c r="AE82" s="54"/>
      <c r="AF82" s="55"/>
      <c r="AG82" s="54"/>
      <c r="AH82" s="55"/>
    </row>
    <row r="83" spans="1:34" ht="4.5" customHeight="1" x14ac:dyDescent="0.25">
      <c r="A83" s="213"/>
      <c r="B83" s="53"/>
      <c r="C83" s="54"/>
      <c r="D83" s="55"/>
      <c r="E83" s="54"/>
      <c r="F83" s="55"/>
      <c r="G83" s="54"/>
      <c r="H83" s="55"/>
      <c r="I83" s="54"/>
      <c r="J83" s="55"/>
      <c r="K83" s="54"/>
      <c r="L83" s="55"/>
      <c r="M83" s="52"/>
      <c r="N83" s="54"/>
      <c r="O83" s="55"/>
      <c r="P83" s="54"/>
      <c r="Q83" s="55"/>
      <c r="R83" s="54"/>
      <c r="S83" s="55"/>
      <c r="T83" s="54"/>
      <c r="U83" s="55"/>
      <c r="V83" s="54"/>
      <c r="W83" s="55"/>
      <c r="X83" s="52"/>
      <c r="Y83" s="54"/>
      <c r="Z83" s="55"/>
      <c r="AA83" s="54"/>
      <c r="AB83" s="55"/>
      <c r="AC83" s="54"/>
      <c r="AD83" s="55"/>
      <c r="AE83" s="54"/>
      <c r="AF83" s="55"/>
      <c r="AG83" s="54"/>
      <c r="AH83" s="55"/>
    </row>
    <row r="84" spans="1:34" ht="15" x14ac:dyDescent="0.25">
      <c r="A84" s="213"/>
      <c r="B84" s="53" t="s">
        <v>32</v>
      </c>
      <c r="C84" s="54"/>
      <c r="D84" s="55"/>
      <c r="E84" s="54"/>
      <c r="F84" s="55"/>
      <c r="G84" s="54">
        <f>IF('Plan Comparison Calculator'!$F$27="In-Network",Xray*'Plan Comparison Calculator'!$G$27,"")</f>
        <v>0</v>
      </c>
      <c r="H84" s="55" t="str">
        <f>IF('Plan Comparison Calculator'!$F$27="PLUS ONLY Out-of-Network",Xray*'Plan Comparison Calculator'!$G$27*OONCostLoad,"")</f>
        <v/>
      </c>
      <c r="I84" s="54"/>
      <c r="J84" s="55"/>
      <c r="K84" s="54"/>
      <c r="L84" s="55"/>
      <c r="M84" s="52"/>
      <c r="N84" s="54"/>
      <c r="O84" s="55"/>
      <c r="P84" s="54"/>
      <c r="Q84" s="55"/>
      <c r="R84" s="54">
        <f>IF('Plan Comparison Calculator'!$F$27="In-Network",Xray*'Plan Comparison Calculator'!$I$27,"")</f>
        <v>0</v>
      </c>
      <c r="S84" s="55" t="str">
        <f>IF('Plan Comparison Calculator'!$F$27="PLUS ONLY Out-of-Network",Xray*'Plan Comparison Calculator'!$I$27*OONCostLoad,"")</f>
        <v/>
      </c>
      <c r="T84" s="54"/>
      <c r="U84" s="55"/>
      <c r="V84" s="54"/>
      <c r="W84" s="55"/>
      <c r="X84" s="52"/>
      <c r="Y84" s="54"/>
      <c r="Z84" s="55"/>
      <c r="AA84" s="54"/>
      <c r="AB84" s="55"/>
      <c r="AC84" s="54">
        <f>IF('Plan Comparison Calculator'!$F$27="In-Network",Xray*'Plan Comparison Calculator'!$J$27,"")</f>
        <v>0</v>
      </c>
      <c r="AD84" s="55" t="str">
        <f>IF('Plan Comparison Calculator'!$F$27="PLUS ONLY Out-of-Network",Xray*'Plan Comparison Calculator'!$J$27*OONCostLoad,"")</f>
        <v/>
      </c>
      <c r="AE84" s="54"/>
      <c r="AF84" s="55"/>
      <c r="AG84" s="54"/>
      <c r="AH84" s="55"/>
    </row>
    <row r="85" spans="1:34" ht="4.5" customHeight="1" x14ac:dyDescent="0.25">
      <c r="A85" s="213"/>
      <c r="B85" s="53"/>
      <c r="C85" s="54"/>
      <c r="D85" s="55"/>
      <c r="E85" s="54"/>
      <c r="F85" s="55"/>
      <c r="G85" s="54"/>
      <c r="H85" s="55"/>
      <c r="I85" s="54"/>
      <c r="J85" s="55"/>
      <c r="K85" s="54"/>
      <c r="L85" s="55"/>
      <c r="M85" s="52"/>
      <c r="N85" s="54"/>
      <c r="O85" s="55"/>
      <c r="P85" s="54"/>
      <c r="Q85" s="55"/>
      <c r="R85" s="54"/>
      <c r="S85" s="55"/>
      <c r="T85" s="54"/>
      <c r="U85" s="55"/>
      <c r="V85" s="54"/>
      <c r="W85" s="55"/>
      <c r="X85" s="52"/>
      <c r="Y85" s="54"/>
      <c r="Z85" s="55"/>
      <c r="AA85" s="54"/>
      <c r="AB85" s="55"/>
      <c r="AC85" s="54"/>
      <c r="AD85" s="55"/>
      <c r="AE85" s="54"/>
      <c r="AF85" s="55"/>
      <c r="AG85" s="54"/>
      <c r="AH85" s="55"/>
    </row>
    <row r="86" spans="1:34" ht="15" x14ac:dyDescent="0.25">
      <c r="A86" s="213"/>
      <c r="B86" s="53" t="s">
        <v>33</v>
      </c>
      <c r="C86" s="54"/>
      <c r="D86" s="55"/>
      <c r="E86" s="54"/>
      <c r="F86" s="55"/>
      <c r="G86" s="54">
        <f>IF('Plan Comparison Calculator'!$F$29="In-Network",CatScan*'Plan Comparison Calculator'!$G$29,"")</f>
        <v>0</v>
      </c>
      <c r="H86" s="55" t="str">
        <f>IF('Plan Comparison Calculator'!$F$29="PLUS ONLY Out-of-Network",CatScan*'Plan Comparison Calculator'!$G$29*OONCostLoad,"")</f>
        <v/>
      </c>
      <c r="I86" s="54"/>
      <c r="J86" s="55"/>
      <c r="K86" s="54"/>
      <c r="L86" s="55"/>
      <c r="M86" s="52"/>
      <c r="N86" s="54"/>
      <c r="O86" s="55"/>
      <c r="P86" s="54"/>
      <c r="Q86" s="55"/>
      <c r="R86" s="54">
        <f>IF('Plan Comparison Calculator'!$F$29="In-Network",CatScan*'Plan Comparison Calculator'!$I$29,"")</f>
        <v>0</v>
      </c>
      <c r="S86" s="55" t="str">
        <f>IF('Plan Comparison Calculator'!$F$29="PLUS ONLY Out-of-Network",CatScan*'Plan Comparison Calculator'!$I$29*OONCostLoad,"")</f>
        <v/>
      </c>
      <c r="T86" s="54"/>
      <c r="U86" s="55"/>
      <c r="V86" s="54"/>
      <c r="W86" s="55"/>
      <c r="X86" s="52"/>
      <c r="Y86" s="54"/>
      <c r="Z86" s="55"/>
      <c r="AA86" s="54"/>
      <c r="AB86" s="55"/>
      <c r="AC86" s="54">
        <f>IF('Plan Comparison Calculator'!$F$29="In-Network",CatScan*'Plan Comparison Calculator'!$J$29,"")</f>
        <v>0</v>
      </c>
      <c r="AD86" s="55" t="str">
        <f>IF('Plan Comparison Calculator'!$F$29="PLUS ONLY Out-of-Network",CatScan*'Plan Comparison Calculator'!$J$29*OONCostLoad,"")</f>
        <v/>
      </c>
      <c r="AE86" s="54"/>
      <c r="AF86" s="55"/>
      <c r="AG86" s="54"/>
      <c r="AH86" s="55"/>
    </row>
    <row r="87" spans="1:34" ht="4.5" customHeight="1" x14ac:dyDescent="0.25">
      <c r="A87" s="213"/>
      <c r="B87" s="53"/>
      <c r="C87" s="54"/>
      <c r="D87" s="55"/>
      <c r="E87" s="54"/>
      <c r="F87" s="55"/>
      <c r="G87" s="54"/>
      <c r="H87" s="55"/>
      <c r="I87" s="54"/>
      <c r="J87" s="55"/>
      <c r="K87" s="54"/>
      <c r="L87" s="55"/>
      <c r="M87" s="52"/>
      <c r="N87" s="54"/>
      <c r="O87" s="55"/>
      <c r="P87" s="54"/>
      <c r="Q87" s="55"/>
      <c r="R87" s="54"/>
      <c r="S87" s="55"/>
      <c r="T87" s="54"/>
      <c r="U87" s="55"/>
      <c r="V87" s="54"/>
      <c r="W87" s="55"/>
      <c r="X87" s="52"/>
      <c r="Y87" s="54"/>
      <c r="Z87" s="55"/>
      <c r="AA87" s="54"/>
      <c r="AB87" s="55"/>
      <c r="AC87" s="54"/>
      <c r="AD87" s="55"/>
      <c r="AE87" s="54"/>
      <c r="AF87" s="55"/>
      <c r="AG87" s="54"/>
      <c r="AH87" s="55"/>
    </row>
    <row r="88" spans="1:34" ht="15" x14ac:dyDescent="0.25">
      <c r="A88" s="213"/>
      <c r="B88" s="53" t="s">
        <v>34</v>
      </c>
      <c r="C88" s="54">
        <f>IF('Plan Comparison Calculator'!$F$31="In-Network",'Plan Comparison Calculator'!$G$31*P2_In_OP_Surgery_Copay,"")</f>
        <v>0</v>
      </c>
      <c r="D88" s="55" t="str">
        <f>IF('Plan Comparison Calculator'!$F$31="PLUS ONLY Out-of-Network",'Plan Comparison Calculator'!$G$31*P2_Out_OP_Surgery_Copay,"")</f>
        <v/>
      </c>
      <c r="E88" s="54"/>
      <c r="F88" s="55"/>
      <c r="G88" s="54"/>
      <c r="H88" s="55"/>
      <c r="I88" s="54">
        <f>IF('Plan Comparison Calculator'!$F$31="In-Network",Surgery_Facility*'Plan Comparison Calculator'!$G$31-C88,"")</f>
        <v>0</v>
      </c>
      <c r="J88" s="55" t="str">
        <f>IF('Plan Comparison Calculator'!$F$31="PLUS ONLY Out-of-Network",Surgery_Facility*'Plan Comparison Calculator'!$G$31*OONCostLoad-D88,"")</f>
        <v/>
      </c>
      <c r="K88" s="54">
        <f>IF('Plan Comparison Calculator'!$F$31="In-Network",Surgery_Physician*'Plan Comparison Calculator'!$G$31,"")</f>
        <v>0</v>
      </c>
      <c r="L88" s="55" t="str">
        <f>IF('Plan Comparison Calculator'!$F$31="PLUS ONLY Out-of-Network",Surgery_Physician*'Plan Comparison Calculator'!$G$31*OONCostLoad,"")</f>
        <v/>
      </c>
      <c r="M88" s="52"/>
      <c r="N88" s="54">
        <f>IF('Plan Comparison Calculator'!$F$31="In-Network",'Plan Comparison Calculator'!$I$31*P2_In_OP_Surgery_Copay,"")</f>
        <v>0</v>
      </c>
      <c r="O88" s="55" t="str">
        <f>IF('Plan Comparison Calculator'!$F$31="PLUS ONLY Out-of-Network",'Plan Comparison Calculator'!$I$31*P2_Out_OP_Surgery_Copay,"")</f>
        <v/>
      </c>
      <c r="P88" s="54"/>
      <c r="Q88" s="55"/>
      <c r="R88" s="54"/>
      <c r="S88" s="55"/>
      <c r="T88" s="54">
        <f>IF('Plan Comparison Calculator'!$F$31="In-Network",Surgery_Facility*'Plan Comparison Calculator'!$I$31-N88,"")</f>
        <v>0</v>
      </c>
      <c r="U88" s="55" t="str">
        <f>IF('Plan Comparison Calculator'!$F$31="PLUS ONLY Out-of-Network",Surgery_Facility*'Plan Comparison Calculator'!$I$31*OONCostLoad-O88,"")</f>
        <v/>
      </c>
      <c r="V88" s="54">
        <f>IF('Plan Comparison Calculator'!$F$31="In-Network",Surgery_Physician*'Plan Comparison Calculator'!$I$31,"")</f>
        <v>0</v>
      </c>
      <c r="W88" s="55" t="str">
        <f>IF('Plan Comparison Calculator'!$F$31="PLUS ONLY Out-of-Network",Surgery_Physician*'Plan Comparison Calculator'!$I$31*OONCostLoad,"")</f>
        <v/>
      </c>
      <c r="X88" s="52"/>
      <c r="Y88" s="54">
        <f>IF('Plan Comparison Calculator'!$F$31="In-Network",'Plan Comparison Calculator'!$J$31*P2_In_OP_Surgery_Copay,"")</f>
        <v>0</v>
      </c>
      <c r="Z88" s="55" t="str">
        <f>IF('Plan Comparison Calculator'!$F$31="PLUS ONLY Out-of-Network",'Plan Comparison Calculator'!$J$31*P2_Out_OP_Surgery_Copay,"")</f>
        <v/>
      </c>
      <c r="AA88" s="54"/>
      <c r="AB88" s="55"/>
      <c r="AC88" s="54"/>
      <c r="AD88" s="55"/>
      <c r="AE88" s="54">
        <f>IF('Plan Comparison Calculator'!$F$31="In-Network",Surgery_Facility*'Plan Comparison Calculator'!$J$31-Y88,"")</f>
        <v>0</v>
      </c>
      <c r="AF88" s="55" t="str">
        <f>IF('Plan Comparison Calculator'!$F$31="PLUS ONLY Out-of-Network",Surgery_Facility*'Plan Comparison Calculator'!$J$31*OONCostLoad-Z88,"")</f>
        <v/>
      </c>
      <c r="AG88" s="54">
        <f>IF('Plan Comparison Calculator'!$F$31="In-Network",Surgery_Physician*'Plan Comparison Calculator'!$J$31,"")</f>
        <v>0</v>
      </c>
      <c r="AH88" s="55" t="str">
        <f>IF('Plan Comparison Calculator'!$F$31="PLUS ONLY Out-of-Network",Surgery_Physician*'Plan Comparison Calculator'!$J$31*OONCostLoad,"")</f>
        <v/>
      </c>
    </row>
    <row r="89" spans="1:34" ht="4.5" customHeight="1" x14ac:dyDescent="0.25">
      <c r="A89" s="213"/>
      <c r="B89" s="53"/>
      <c r="C89" s="54"/>
      <c r="D89" s="55"/>
      <c r="E89" s="54"/>
      <c r="F89" s="55"/>
      <c r="G89" s="54"/>
      <c r="H89" s="55"/>
      <c r="I89" s="54"/>
      <c r="J89" s="55"/>
      <c r="K89" s="54"/>
      <c r="L89" s="55"/>
      <c r="M89" s="52"/>
      <c r="N89" s="54"/>
      <c r="O89" s="55"/>
      <c r="P89" s="54"/>
      <c r="Q89" s="55"/>
      <c r="R89" s="54"/>
      <c r="S89" s="55"/>
      <c r="T89" s="54"/>
      <c r="U89" s="55"/>
      <c r="V89" s="54"/>
      <c r="W89" s="55"/>
      <c r="X89" s="52"/>
      <c r="Y89" s="54"/>
      <c r="Z89" s="55"/>
      <c r="AA89" s="54"/>
      <c r="AB89" s="55"/>
      <c r="AC89" s="54"/>
      <c r="AD89" s="55"/>
      <c r="AE89" s="54"/>
      <c r="AF89" s="55"/>
      <c r="AG89" s="54"/>
      <c r="AH89" s="55"/>
    </row>
    <row r="90" spans="1:34" ht="15" x14ac:dyDescent="0.25">
      <c r="A90" s="213"/>
      <c r="B90" s="53" t="s">
        <v>35</v>
      </c>
      <c r="C90" s="54">
        <f>IF('Plan Comparison Calculator'!$F$33="In-Network",'Plan Comparison Calculator'!$G$33*P2_In_IP_Hosp_Copay,"")</f>
        <v>0</v>
      </c>
      <c r="D90" s="55" t="str">
        <f>IF('Plan Comparison Calculator'!$F$33="PLUS ONLY Out-of-Network",'Plan Comparison Calculator'!$G$33*P2_Out_IP_Hosp_Copay,"")</f>
        <v/>
      </c>
      <c r="E90" s="54"/>
      <c r="F90" s="55"/>
      <c r="G90" s="54">
        <f>IF('Plan Comparison Calculator'!$F$33="In-Network",IP_XrayLab*'Plan Comparison Calculator'!$G$33,"")</f>
        <v>0</v>
      </c>
      <c r="H90" s="55" t="str">
        <f>IF('Plan Comparison Calculator'!$F$33="PLUS ONLY Out-of-Network",IP_XrayLab*'Plan Comparison Calculator'!$G$33*OONCostLoad,"")</f>
        <v/>
      </c>
      <c r="I90" s="54">
        <f>IF('Plan Comparison Calculator'!$F$33="In-Network",IP_Facility*'Plan Comparison Calculator'!$G$33-C90,"")</f>
        <v>0</v>
      </c>
      <c r="J90" s="55" t="str">
        <f>IF('Plan Comparison Calculator'!$F$33="PLUS ONLY Out-of-Network",IP_Facility*'Plan Comparison Calculator'!$G$33*OONCostLoad-D90,"")</f>
        <v/>
      </c>
      <c r="K90" s="54">
        <f>IF('Plan Comparison Calculator'!$F$33="In-Network",IP_Physician*'Plan Comparison Calculator'!$G$33,"")</f>
        <v>0</v>
      </c>
      <c r="L90" s="55" t="str">
        <f>IF('Plan Comparison Calculator'!$F$33="PLUS ONLY Out-of-Network",IP_Physician*'Plan Comparison Calculator'!$G$33*OONCostLoad,"")</f>
        <v/>
      </c>
      <c r="M90" s="52"/>
      <c r="N90" s="54">
        <f>IF('Plan Comparison Calculator'!$F$33="In-Network",'Plan Comparison Calculator'!$I$33*P2_In_IP_Hosp_Copay,"")</f>
        <v>0</v>
      </c>
      <c r="O90" s="55" t="str">
        <f>IF('Plan Comparison Calculator'!$F$33="PLUS ONLY Out-of-Network",'Plan Comparison Calculator'!$I$33*P2_Out_IP_Hosp_Copay,"")</f>
        <v/>
      </c>
      <c r="P90" s="54"/>
      <c r="Q90" s="55"/>
      <c r="R90" s="54">
        <f>IF('Plan Comparison Calculator'!$F$33="In-Network",IP_XrayLab*'Plan Comparison Calculator'!$I$33,"")</f>
        <v>0</v>
      </c>
      <c r="S90" s="55" t="str">
        <f>IF('Plan Comparison Calculator'!$F$33="PLUS ONLY Out-of-Network",IP_XrayLab*'Plan Comparison Calculator'!$I$33*OONCostLoad,"")</f>
        <v/>
      </c>
      <c r="T90" s="54">
        <f>IF('Plan Comparison Calculator'!$F$33="In-Network",IP_Facility*'Plan Comparison Calculator'!$I$33-N90,"")</f>
        <v>0</v>
      </c>
      <c r="U90" s="55" t="str">
        <f>IF('Plan Comparison Calculator'!$F$33="PLUS ONLY Out-of-Network",IP_Facility*'Plan Comparison Calculator'!$I$33*OONCostLoad-O90,"")</f>
        <v/>
      </c>
      <c r="V90" s="54">
        <f>IF('Plan Comparison Calculator'!$F$33="In-Network",IP_Physician*'Plan Comparison Calculator'!$I$33,"")</f>
        <v>0</v>
      </c>
      <c r="W90" s="55" t="str">
        <f>IF('Plan Comparison Calculator'!$F$33="PLUS ONLY Out-of-Network",IP_Physician*'Plan Comparison Calculator'!$I$33*OONCostLoad,"")</f>
        <v/>
      </c>
      <c r="X90" s="52"/>
      <c r="Y90" s="54">
        <f>IF('Plan Comparison Calculator'!$F$33="In-Network",'Plan Comparison Calculator'!$J$33*P2_In_IP_Hosp_Copay,"")</f>
        <v>0</v>
      </c>
      <c r="Z90" s="55" t="str">
        <f>IF('Plan Comparison Calculator'!$F$33="PLUS ONLY Out-of-Network",'Plan Comparison Calculator'!$J$33*P2_Out_IP_Hosp_Copay,"")</f>
        <v/>
      </c>
      <c r="AA90" s="54"/>
      <c r="AB90" s="55"/>
      <c r="AC90" s="54">
        <f>IF('Plan Comparison Calculator'!$F$33="In-Network",IP_XrayLab*'Plan Comparison Calculator'!$J$33,"")</f>
        <v>0</v>
      </c>
      <c r="AD90" s="55" t="str">
        <f>IF('Plan Comparison Calculator'!$F$33="PLUS ONLY Out-of-Network",IP_XrayLab*'Plan Comparison Calculator'!$J$33*OONCostLoad,"")</f>
        <v/>
      </c>
      <c r="AE90" s="54">
        <f>IF('Plan Comparison Calculator'!$F$33="In-Network",IP_Facility*'Plan Comparison Calculator'!$J$33-Y90,"")</f>
        <v>0</v>
      </c>
      <c r="AF90" s="55" t="str">
        <f>IF('Plan Comparison Calculator'!$F$33="PLUS ONLY Out-of-Network",IP_Facility*'Plan Comparison Calculator'!$J$33*OONCostLoad-Z90,"")</f>
        <v/>
      </c>
      <c r="AG90" s="54">
        <f>IF('Plan Comparison Calculator'!$F$33="In-Network",IP_Physician*'Plan Comparison Calculator'!$J$33,"")</f>
        <v>0</v>
      </c>
      <c r="AH90" s="55" t="str">
        <f>IF('Plan Comparison Calculator'!$F$33="PLUS ONLY Out-of-Network",IP_Physician*'Plan Comparison Calculator'!$J$33*OONCostLoad,"")</f>
        <v/>
      </c>
    </row>
    <row r="91" spans="1:34" ht="15" x14ac:dyDescent="0.25">
      <c r="A91" s="213"/>
      <c r="B91" s="51"/>
      <c r="C91" s="54"/>
      <c r="D91" s="55"/>
      <c r="E91" s="54"/>
      <c r="F91" s="55"/>
      <c r="G91" s="54"/>
      <c r="H91" s="55"/>
      <c r="I91" s="54"/>
      <c r="J91" s="55"/>
      <c r="K91" s="54"/>
      <c r="L91" s="55"/>
      <c r="M91" s="52"/>
      <c r="N91" s="54"/>
      <c r="O91" s="55"/>
      <c r="P91" s="54"/>
      <c r="Q91" s="55"/>
      <c r="R91" s="54"/>
      <c r="S91" s="55"/>
      <c r="T91" s="54"/>
      <c r="U91" s="55"/>
      <c r="V91" s="54"/>
      <c r="W91" s="55"/>
      <c r="X91" s="52"/>
      <c r="Y91" s="54"/>
      <c r="Z91" s="55"/>
      <c r="AA91" s="54"/>
      <c r="AB91" s="55"/>
      <c r="AC91" s="54"/>
      <c r="AD91" s="55"/>
      <c r="AE91" s="54"/>
      <c r="AF91" s="55"/>
      <c r="AG91" s="54"/>
      <c r="AH91" s="55"/>
    </row>
    <row r="92" spans="1:34" ht="15" x14ac:dyDescent="0.25">
      <c r="A92" s="213"/>
      <c r="B92" s="51"/>
      <c r="C92" s="54"/>
      <c r="D92" s="55"/>
      <c r="E92" s="54"/>
      <c r="F92" s="55"/>
      <c r="G92" s="54"/>
      <c r="H92" s="55"/>
      <c r="I92" s="54"/>
      <c r="J92" s="55"/>
      <c r="K92" s="54"/>
      <c r="L92" s="55"/>
      <c r="M92" s="52"/>
      <c r="N92" s="54"/>
      <c r="O92" s="55"/>
      <c r="P92" s="54"/>
      <c r="Q92" s="55"/>
      <c r="R92" s="54"/>
      <c r="S92" s="55"/>
      <c r="T92" s="54"/>
      <c r="U92" s="55"/>
      <c r="V92" s="54"/>
      <c r="W92" s="55"/>
      <c r="X92" s="52"/>
      <c r="Y92" s="54"/>
      <c r="Z92" s="55"/>
      <c r="AA92" s="54"/>
      <c r="AB92" s="55"/>
      <c r="AC92" s="54"/>
      <c r="AD92" s="55"/>
      <c r="AE92" s="54"/>
      <c r="AF92" s="55"/>
      <c r="AG92" s="54"/>
      <c r="AH92" s="55"/>
    </row>
    <row r="93" spans="1:34" ht="15" x14ac:dyDescent="0.25">
      <c r="A93" s="213"/>
      <c r="B93" s="51"/>
      <c r="C93" s="54"/>
      <c r="D93" s="55"/>
      <c r="E93" s="54"/>
      <c r="F93" s="55"/>
      <c r="G93" s="54"/>
      <c r="H93" s="55"/>
      <c r="I93" s="54"/>
      <c r="J93" s="55"/>
      <c r="K93" s="54"/>
      <c r="L93" s="55"/>
      <c r="M93" s="52"/>
      <c r="N93" s="54"/>
      <c r="O93" s="55"/>
      <c r="P93" s="54"/>
      <c r="Q93" s="55"/>
      <c r="R93" s="54"/>
      <c r="S93" s="55"/>
      <c r="T93" s="54"/>
      <c r="U93" s="55"/>
      <c r="V93" s="54"/>
      <c r="W93" s="55"/>
      <c r="X93" s="52"/>
      <c r="Y93" s="54"/>
      <c r="Z93" s="55"/>
      <c r="AA93" s="54"/>
      <c r="AB93" s="55"/>
      <c r="AC93" s="54"/>
      <c r="AD93" s="55"/>
      <c r="AE93" s="54"/>
      <c r="AF93" s="55"/>
      <c r="AG93" s="54"/>
      <c r="AH93" s="55"/>
    </row>
    <row r="94" spans="1:34" ht="15" x14ac:dyDescent="0.25">
      <c r="A94" s="213"/>
      <c r="B94" s="51"/>
      <c r="C94" s="54">
        <f>SUM(C74:C90,C68)</f>
        <v>0</v>
      </c>
      <c r="D94" s="55">
        <f>SUM(D74:D90,D68)</f>
        <v>0</v>
      </c>
      <c r="E94" s="54">
        <f>SUM(E76:E90,E68)</f>
        <v>0</v>
      </c>
      <c r="F94" s="55">
        <f>SUM(F76:F90,F68)</f>
        <v>0</v>
      </c>
      <c r="G94" s="54">
        <f>MAX(SUM(G68:G86)-P2_In_LabMax,0)+SUM(G89:G90)</f>
        <v>0</v>
      </c>
      <c r="H94" s="55">
        <f>MAX(SUM(H68:H86)-P2_Out_LabMax,0)+SUM(H89:H90)</f>
        <v>0</v>
      </c>
      <c r="I94" s="54">
        <f>SUM(I76:I90,I68)</f>
        <v>0</v>
      </c>
      <c r="J94" s="55">
        <f>SUM(J76:J90,J68)</f>
        <v>0</v>
      </c>
      <c r="K94" s="54">
        <f>SUM(K76:K90,K68)</f>
        <v>0</v>
      </c>
      <c r="L94" s="55">
        <f>SUM(L76:L90,L68)</f>
        <v>0</v>
      </c>
      <c r="M94" s="52"/>
      <c r="N94" s="54">
        <f>SUM(N74:N90,N68)</f>
        <v>0</v>
      </c>
      <c r="O94" s="55">
        <f>SUM(O74:O90,O68)</f>
        <v>0</v>
      </c>
      <c r="P94" s="54">
        <f>SUM(P76:P90,P68)</f>
        <v>0</v>
      </c>
      <c r="Q94" s="55">
        <f>SUM(Q76:Q90,Q68)</f>
        <v>0</v>
      </c>
      <c r="R94" s="54">
        <f>MAX(SUM(R68:R86)-P2_In_LabMax,0)+SUM(R89:R90)</f>
        <v>0</v>
      </c>
      <c r="S94" s="55">
        <f>MAX(SUM(S68:S86)-P2_Out_LabMax,0)+SUM(S89:S90)</f>
        <v>0</v>
      </c>
      <c r="T94" s="54">
        <f>SUM(T76:T90,T68)</f>
        <v>0</v>
      </c>
      <c r="U94" s="55">
        <f>SUM(U76:U90,U68)</f>
        <v>0</v>
      </c>
      <c r="V94" s="54">
        <f>SUM(V76:V90,V68)</f>
        <v>0</v>
      </c>
      <c r="W94" s="55">
        <f>SUM(W76:W90,W68)</f>
        <v>0</v>
      </c>
      <c r="X94" s="52"/>
      <c r="Y94" s="54">
        <f>SUM(Y74:Y90,Y68)</f>
        <v>0</v>
      </c>
      <c r="Z94" s="55">
        <f>SUM(Z74:Z90,Z68)</f>
        <v>0</v>
      </c>
      <c r="AA94" s="54">
        <f>SUM(AA76:AA90,AA68)</f>
        <v>0</v>
      </c>
      <c r="AB94" s="55">
        <f>SUM(AB76:AB90,AB68)</f>
        <v>0</v>
      </c>
      <c r="AC94" s="54">
        <f>MAX(SUM(AC68:AC86)-P2_In_LabMax,0)+SUM(AC89:AC90)</f>
        <v>0</v>
      </c>
      <c r="AD94" s="55">
        <f>MAX(SUM(AD68:AD86)-P2_Out_LabMax,0)+SUM(AD89:AD90)</f>
        <v>0</v>
      </c>
      <c r="AE94" s="54">
        <f>SUM(AE76:AE90,AE68)</f>
        <v>0</v>
      </c>
      <c r="AF94" s="55">
        <f>SUM(AF76:AF90,AF68)</f>
        <v>0</v>
      </c>
      <c r="AG94" s="54">
        <f>SUM(AG76:AG90,AG68)</f>
        <v>0</v>
      </c>
      <c r="AH94" s="55">
        <f>SUM(AH76:AH90,AH68)</f>
        <v>0</v>
      </c>
    </row>
    <row r="95" spans="1:34" ht="14.25" x14ac:dyDescent="0.2">
      <c r="A95" s="213"/>
      <c r="B95" s="51"/>
      <c r="C95" s="19"/>
      <c r="D95" s="19"/>
      <c r="E95" s="19"/>
      <c r="F95" s="19"/>
      <c r="G95" s="19"/>
      <c r="H95" s="19"/>
      <c r="I95" s="19"/>
      <c r="J95" s="19"/>
      <c r="K95" s="19"/>
      <c r="L95" s="19"/>
      <c r="M95" s="52"/>
      <c r="N95" s="19"/>
      <c r="O95" s="19"/>
      <c r="P95" s="19"/>
      <c r="Q95" s="19"/>
      <c r="R95" s="19"/>
      <c r="S95" s="19"/>
      <c r="T95" s="19"/>
      <c r="U95" s="19"/>
      <c r="V95" s="19"/>
      <c r="W95" s="19"/>
      <c r="X95" s="52"/>
      <c r="Y95" s="19"/>
      <c r="Z95" s="19"/>
      <c r="AA95" s="19"/>
      <c r="AB95" s="19"/>
      <c r="AC95" s="19"/>
    </row>
    <row r="96" spans="1:34" ht="15" customHeight="1" x14ac:dyDescent="0.25">
      <c r="A96" s="213"/>
      <c r="B96" s="51"/>
      <c r="C96" s="56" t="s">
        <v>36</v>
      </c>
      <c r="D96" s="19"/>
      <c r="E96" s="19"/>
      <c r="F96" s="19"/>
      <c r="G96" s="19"/>
      <c r="H96" s="19"/>
      <c r="I96" s="19"/>
      <c r="J96" s="19"/>
      <c r="K96" s="19"/>
      <c r="L96" s="19"/>
      <c r="M96" s="52"/>
      <c r="N96" s="19"/>
      <c r="O96" s="19"/>
      <c r="P96" s="19"/>
      <c r="Q96" s="19"/>
      <c r="R96" s="19"/>
      <c r="S96" s="19"/>
      <c r="T96" s="19"/>
      <c r="U96" s="19"/>
      <c r="V96" s="19"/>
      <c r="W96" s="19"/>
      <c r="X96" s="52"/>
      <c r="Y96" s="19"/>
      <c r="Z96" s="19"/>
      <c r="AA96" s="19"/>
      <c r="AB96" s="19"/>
      <c r="AC96" s="19"/>
    </row>
    <row r="97" spans="1:29" ht="14.25" x14ac:dyDescent="0.2">
      <c r="A97" s="213"/>
      <c r="B97" s="51"/>
      <c r="C97" s="57">
        <f>P2_In_Rx1*'Plan Comparison Calculator'!$F$39+P2_Out_Rx1*'Plan Comparison Calculator'!$K$39</f>
        <v>0</v>
      </c>
      <c r="D97" s="57"/>
      <c r="E97" s="19"/>
      <c r="F97" s="19"/>
      <c r="G97" s="19"/>
      <c r="H97" s="19"/>
      <c r="I97" s="19"/>
      <c r="J97" s="19"/>
      <c r="K97" s="19"/>
      <c r="L97" s="19"/>
      <c r="M97" s="52"/>
      <c r="N97" s="57"/>
      <c r="O97" s="57"/>
      <c r="P97" s="19"/>
      <c r="Q97" s="19"/>
      <c r="R97" s="19"/>
      <c r="S97" s="19"/>
      <c r="T97" s="19"/>
      <c r="U97" s="19"/>
      <c r="V97" s="19"/>
      <c r="W97" s="19"/>
      <c r="X97" s="52"/>
      <c r="Y97" s="57"/>
      <c r="Z97" s="19"/>
      <c r="AA97" s="19"/>
      <c r="AB97" s="19"/>
      <c r="AC97" s="19"/>
    </row>
    <row r="98" spans="1:29" ht="14.25" x14ac:dyDescent="0.2">
      <c r="A98" s="213"/>
      <c r="B98" s="51"/>
      <c r="C98" s="57">
        <f>P2_In_Rx2*'Plan Comparison Calculator'!$F$40+P2_Out_Rx2*'Plan Comparison Calculator'!$K$40</f>
        <v>0</v>
      </c>
      <c r="D98" s="57"/>
      <c r="E98" s="19"/>
      <c r="F98" s="19"/>
      <c r="G98" s="19"/>
      <c r="H98" s="19"/>
      <c r="I98" s="19"/>
      <c r="J98" s="19"/>
      <c r="K98" s="19"/>
      <c r="L98" s="19"/>
      <c r="M98" s="52"/>
      <c r="N98" s="57"/>
      <c r="O98" s="57"/>
      <c r="P98" s="19"/>
      <c r="Q98" s="19"/>
      <c r="R98" s="19"/>
      <c r="S98" s="19"/>
      <c r="T98" s="19"/>
      <c r="U98" s="19"/>
      <c r="V98" s="19"/>
      <c r="W98" s="19"/>
      <c r="X98" s="52"/>
      <c r="Y98" s="57"/>
      <c r="Z98" s="19"/>
      <c r="AA98" s="19"/>
      <c r="AB98" s="19"/>
      <c r="AC98" s="19"/>
    </row>
    <row r="99" spans="1:29" ht="14.25" x14ac:dyDescent="0.2">
      <c r="A99" s="213"/>
      <c r="B99" s="51"/>
      <c r="C99" s="57">
        <f>P2_In_Rx3*'Plan Comparison Calculator'!$F$41+P2_Out_Rx3*'Plan Comparison Calculator'!$K$41</f>
        <v>0</v>
      </c>
      <c r="D99" s="57"/>
      <c r="E99" s="19"/>
      <c r="F99" s="19"/>
      <c r="G99" s="19"/>
      <c r="H99" s="19"/>
      <c r="I99" s="19"/>
      <c r="J99" s="19"/>
      <c r="K99" s="19"/>
      <c r="L99" s="19"/>
      <c r="M99" s="52"/>
      <c r="N99" s="57"/>
      <c r="O99" s="57"/>
      <c r="P99" s="19"/>
      <c r="Q99" s="19"/>
      <c r="R99" s="19"/>
      <c r="S99" s="19"/>
      <c r="T99" s="19"/>
      <c r="U99" s="19"/>
      <c r="V99" s="19"/>
      <c r="W99" s="19"/>
      <c r="X99" s="52"/>
      <c r="Y99" s="57"/>
      <c r="Z99" s="19"/>
      <c r="AA99" s="19"/>
      <c r="AB99" s="19"/>
      <c r="AC99" s="19"/>
    </row>
    <row r="100" spans="1:29" ht="14.25" x14ac:dyDescent="0.2">
      <c r="A100" s="213"/>
      <c r="B100" s="51"/>
      <c r="C100" s="19"/>
      <c r="D100" s="19"/>
      <c r="E100" s="19"/>
      <c r="F100" s="19"/>
      <c r="G100" s="19"/>
      <c r="H100" s="19"/>
      <c r="I100" s="19"/>
      <c r="J100" s="19"/>
      <c r="K100" s="19"/>
      <c r="L100" s="19"/>
      <c r="M100" s="52"/>
      <c r="N100" s="16"/>
      <c r="O100" s="16"/>
      <c r="P100" s="16"/>
      <c r="Q100" s="16"/>
      <c r="R100" s="16"/>
      <c r="S100" s="16"/>
      <c r="T100" s="16"/>
      <c r="U100" s="16"/>
      <c r="V100" s="16"/>
      <c r="W100" s="16"/>
      <c r="X100" s="52"/>
      <c r="Y100" s="16"/>
      <c r="Z100" s="16"/>
      <c r="AA100" s="16"/>
      <c r="AB100" s="16"/>
      <c r="AC100" s="16"/>
    </row>
    <row r="101" spans="1:29" ht="15.75" x14ac:dyDescent="0.25">
      <c r="A101" s="213"/>
      <c r="B101" s="48"/>
      <c r="C101" s="58">
        <f>SUM(C97:C99)</f>
        <v>0</v>
      </c>
      <c r="D101" s="59"/>
      <c r="E101" s="60" t="s">
        <v>37</v>
      </c>
      <c r="F101" s="60"/>
      <c r="G101" s="61"/>
      <c r="H101" s="61"/>
      <c r="I101" s="61"/>
      <c r="J101" s="61"/>
      <c r="K101" s="61"/>
      <c r="L101" s="61"/>
      <c r="M101" s="50"/>
      <c r="N101" s="10"/>
      <c r="O101" s="10"/>
      <c r="P101" s="10"/>
      <c r="Q101" s="10"/>
      <c r="R101" s="10"/>
      <c r="S101" s="10"/>
      <c r="T101" s="10"/>
      <c r="U101" s="10"/>
      <c r="V101" s="10"/>
      <c r="W101" s="10"/>
      <c r="X101" s="50"/>
      <c r="Y101" s="10"/>
      <c r="Z101" s="10"/>
      <c r="AA101" s="10"/>
      <c r="AB101" s="10"/>
      <c r="AC101" s="10"/>
    </row>
    <row r="102" spans="1:29" ht="14.25" x14ac:dyDescent="0.2">
      <c r="A102" s="213"/>
      <c r="B102" s="51"/>
      <c r="C102" s="19"/>
      <c r="D102" s="19"/>
      <c r="E102" s="19"/>
      <c r="F102" s="19"/>
      <c r="G102" s="19"/>
      <c r="H102" s="19"/>
      <c r="I102" s="19"/>
      <c r="J102" s="19"/>
      <c r="K102" s="19"/>
      <c r="L102" s="19"/>
      <c r="M102" s="52"/>
      <c r="N102" s="16"/>
      <c r="O102" s="16"/>
      <c r="P102" s="16"/>
      <c r="Q102" s="16"/>
      <c r="R102" s="16"/>
      <c r="S102" s="16"/>
      <c r="T102" s="16"/>
      <c r="U102" s="16"/>
      <c r="V102" s="16"/>
      <c r="W102" s="16"/>
      <c r="X102" s="52"/>
      <c r="Y102" s="16"/>
      <c r="Z102" s="16"/>
      <c r="AA102" s="16"/>
      <c r="AB102" s="16"/>
      <c r="AC102" s="16"/>
    </row>
    <row r="103" spans="1:29" ht="34.5" customHeight="1" x14ac:dyDescent="0.2">
      <c r="A103" s="213"/>
      <c r="B103" s="51"/>
      <c r="C103" s="19"/>
      <c r="D103" s="19"/>
      <c r="E103" s="19"/>
      <c r="F103" s="19"/>
      <c r="G103" s="19"/>
      <c r="H103" s="19"/>
      <c r="I103" s="19"/>
      <c r="J103" s="19"/>
      <c r="K103" s="19"/>
      <c r="L103" s="19"/>
      <c r="M103" s="52"/>
      <c r="N103" s="16"/>
      <c r="O103" s="16"/>
      <c r="P103" s="16"/>
      <c r="Q103" s="16"/>
      <c r="R103" s="16"/>
      <c r="S103" s="16"/>
      <c r="T103" s="16"/>
      <c r="U103" s="16"/>
      <c r="V103" s="16"/>
      <c r="W103" s="16"/>
      <c r="X103" s="52"/>
      <c r="Y103" s="16"/>
      <c r="Z103" s="16"/>
      <c r="AA103" s="16"/>
      <c r="AB103" s="16"/>
      <c r="AC103" s="16"/>
    </row>
    <row r="104" spans="1:29" ht="34.5" customHeight="1" x14ac:dyDescent="0.25">
      <c r="A104" s="75"/>
      <c r="B104" s="62"/>
      <c r="C104" s="13"/>
      <c r="D104" s="13"/>
      <c r="E104" s="13"/>
      <c r="F104" s="13"/>
      <c r="G104" s="13"/>
      <c r="H104" s="13"/>
      <c r="I104" s="13"/>
      <c r="J104" s="13"/>
      <c r="K104" s="13"/>
      <c r="L104" s="13"/>
      <c r="M104" s="63"/>
      <c r="N104" s="12"/>
      <c r="O104" s="12"/>
      <c r="P104" s="12"/>
      <c r="Q104" s="12"/>
      <c r="R104" s="12"/>
      <c r="S104" s="12"/>
      <c r="T104" s="12"/>
      <c r="U104" s="12"/>
      <c r="V104" s="12"/>
      <c r="W104" s="12"/>
      <c r="X104" s="63"/>
      <c r="Y104" s="12"/>
      <c r="Z104" s="12"/>
      <c r="AA104" s="12"/>
      <c r="AB104" s="12"/>
      <c r="AC104" s="12"/>
    </row>
    <row r="105" spans="1:29" ht="15" x14ac:dyDescent="0.25">
      <c r="B105" s="64"/>
      <c r="C105" s="65">
        <f>SUM(C94:D94)</f>
        <v>0</v>
      </c>
      <c r="D105" s="56"/>
      <c r="E105" s="60" t="s">
        <v>38</v>
      </c>
      <c r="F105" s="60"/>
      <c r="G105" s="56"/>
      <c r="H105" s="56"/>
      <c r="I105" s="56"/>
      <c r="J105" s="56"/>
      <c r="K105" s="56"/>
      <c r="L105" s="56"/>
      <c r="M105" s="66"/>
      <c r="N105" s="65">
        <f>SUM(N94:O94)*$T$2</f>
        <v>0</v>
      </c>
      <c r="O105" s="56"/>
      <c r="P105" s="60" t="s">
        <v>38</v>
      </c>
      <c r="Q105" s="60"/>
      <c r="R105" s="32"/>
      <c r="S105" s="32"/>
      <c r="T105" s="32"/>
      <c r="U105" s="32"/>
      <c r="V105" s="32"/>
      <c r="W105" s="32"/>
      <c r="X105" s="66"/>
      <c r="Y105" s="65">
        <f>SUM(Y94:Z94)*$AE$2</f>
        <v>0</v>
      </c>
      <c r="Z105" s="56"/>
      <c r="AA105" s="60" t="s">
        <v>38</v>
      </c>
      <c r="AB105" s="32"/>
      <c r="AC105" s="32"/>
    </row>
    <row r="106" spans="1:29" ht="15" x14ac:dyDescent="0.25">
      <c r="B106" s="64"/>
      <c r="C106" s="54">
        <f>E94+G94+I94+K94</f>
        <v>0</v>
      </c>
      <c r="D106" s="56"/>
      <c r="E106" s="67" t="s">
        <v>39</v>
      </c>
      <c r="F106" s="60"/>
      <c r="G106" s="56"/>
      <c r="H106" s="56"/>
      <c r="I106" s="56"/>
      <c r="J106" s="56"/>
      <c r="K106" s="56"/>
      <c r="L106" s="56"/>
      <c r="M106" s="66"/>
      <c r="N106" s="54">
        <f>(P94+R94+T94+V94)*T2</f>
        <v>0</v>
      </c>
      <c r="O106" s="56"/>
      <c r="P106" s="67" t="s">
        <v>39</v>
      </c>
      <c r="Q106" s="60"/>
      <c r="R106" s="32"/>
      <c r="S106" s="32"/>
      <c r="T106" s="32"/>
      <c r="U106" s="32"/>
      <c r="V106" s="32"/>
      <c r="W106" s="32"/>
      <c r="X106" s="66"/>
      <c r="Y106" s="54">
        <f>(AA94+AC94+AE94+AG94)*AE2</f>
        <v>0</v>
      </c>
      <c r="Z106" s="56"/>
      <c r="AA106" s="67" t="s">
        <v>39</v>
      </c>
      <c r="AB106" s="32"/>
      <c r="AC106" s="32"/>
    </row>
    <row r="107" spans="1:29" ht="15" x14ac:dyDescent="0.25">
      <c r="B107" s="64"/>
      <c r="C107" s="55">
        <f>F94+H94+J94+L94</f>
        <v>0</v>
      </c>
      <c r="E107" s="68" t="s">
        <v>45</v>
      </c>
      <c r="F107" s="60"/>
      <c r="G107" s="56"/>
      <c r="H107" s="56"/>
      <c r="I107" s="56"/>
      <c r="J107" s="56"/>
      <c r="K107" s="56"/>
      <c r="L107" s="56"/>
      <c r="M107" s="66"/>
      <c r="N107" s="55">
        <f>(Q94+S94+U94+W94)*$T$2</f>
        <v>0</v>
      </c>
      <c r="P107" s="68" t="s">
        <v>45</v>
      </c>
      <c r="Q107" s="60"/>
      <c r="R107" s="32"/>
      <c r="S107" s="32"/>
      <c r="T107" s="32"/>
      <c r="U107" s="32"/>
      <c r="V107" s="32"/>
      <c r="W107" s="32"/>
      <c r="X107" s="66"/>
      <c r="Y107" s="55">
        <f>(AB94+AD94+AF94+AH94)*$AE$2</f>
        <v>0</v>
      </c>
      <c r="AA107" s="68" t="s">
        <v>45</v>
      </c>
      <c r="AB107" s="32"/>
      <c r="AC107" s="32"/>
    </row>
    <row r="108" spans="1:29" ht="15" x14ac:dyDescent="0.25">
      <c r="B108" s="64"/>
      <c r="C108" s="54">
        <f>SUM(E94,G94,I94,K94)</f>
        <v>0</v>
      </c>
      <c r="D108" s="56"/>
      <c r="E108" s="67" t="s">
        <v>40</v>
      </c>
      <c r="F108" s="60"/>
      <c r="G108" s="56"/>
      <c r="H108" s="56"/>
      <c r="I108" s="56"/>
      <c r="J108" s="56"/>
      <c r="K108" s="56"/>
      <c r="L108" s="56"/>
      <c r="M108" s="66"/>
      <c r="N108" s="54">
        <f>SUM(P94,R94,T94,V94)*T2</f>
        <v>0</v>
      </c>
      <c r="O108" s="56"/>
      <c r="P108" s="67" t="s">
        <v>40</v>
      </c>
      <c r="Q108" s="60"/>
      <c r="R108" s="32"/>
      <c r="S108" s="32"/>
      <c r="T108" s="32"/>
      <c r="U108" s="32"/>
      <c r="V108" s="32"/>
      <c r="W108" s="32"/>
      <c r="X108" s="66"/>
      <c r="Y108" s="54">
        <f>SUM(AA94,AC94,AE94,AG94)*AE2</f>
        <v>0</v>
      </c>
      <c r="Z108" s="56"/>
      <c r="AA108" s="67" t="s">
        <v>40</v>
      </c>
      <c r="AB108" s="32"/>
      <c r="AC108" s="32"/>
    </row>
    <row r="109" spans="1:29" ht="15" x14ac:dyDescent="0.25">
      <c r="B109" s="64"/>
      <c r="C109" s="55">
        <f>SUM(F94,H94,J94,L94)</f>
        <v>0</v>
      </c>
      <c r="D109" s="56"/>
      <c r="E109" s="68" t="s">
        <v>46</v>
      </c>
      <c r="F109" s="32"/>
      <c r="G109" s="56"/>
      <c r="H109" s="56"/>
      <c r="I109" s="56"/>
      <c r="J109" s="56"/>
      <c r="K109" s="56"/>
      <c r="L109" s="56"/>
      <c r="M109" s="66"/>
      <c r="N109" s="55">
        <f>SUM(Q94,S94,U94,W94)*T2</f>
        <v>0</v>
      </c>
      <c r="O109" s="56"/>
      <c r="P109" s="68" t="s">
        <v>46</v>
      </c>
      <c r="Q109" s="32"/>
      <c r="R109" s="32"/>
      <c r="S109" s="32"/>
      <c r="T109" s="32"/>
      <c r="U109" s="32"/>
      <c r="V109" s="32"/>
      <c r="W109" s="32"/>
      <c r="X109" s="66"/>
      <c r="Y109" s="55">
        <f>SUM(AB94,AD94,AF94,AH94)</f>
        <v>0</v>
      </c>
      <c r="Z109" s="56"/>
      <c r="AA109" s="68" t="s">
        <v>46</v>
      </c>
      <c r="AB109" s="32"/>
      <c r="AC109" s="32"/>
    </row>
    <row r="110" spans="1:29" ht="15" x14ac:dyDescent="0.25">
      <c r="B110" s="64"/>
      <c r="F110" s="60"/>
      <c r="G110" s="56"/>
      <c r="H110" s="56"/>
      <c r="I110" s="56"/>
      <c r="J110" s="56"/>
      <c r="K110" s="56"/>
      <c r="L110" s="56"/>
      <c r="M110" s="66"/>
      <c r="Q110" s="60"/>
      <c r="R110" s="32"/>
      <c r="S110" s="32"/>
      <c r="T110" s="32"/>
      <c r="U110" s="32"/>
      <c r="V110" s="32"/>
      <c r="W110" s="32"/>
      <c r="X110" s="66"/>
      <c r="AB110" s="32"/>
      <c r="AC110" s="32"/>
    </row>
    <row r="111" spans="1:29" ht="15" x14ac:dyDescent="0.25">
      <c r="B111" s="64"/>
      <c r="C111" s="116">
        <f>IF(SUM(C$106:C$107)&gt;=P2_In_Deduct,(C$106/SUM(C$106:C$107))*P2_In_Deduct,C106)</f>
        <v>0</v>
      </c>
      <c r="D111" s="56"/>
      <c r="E111" s="69" t="s">
        <v>41</v>
      </c>
      <c r="G111" s="19"/>
      <c r="H111" s="19"/>
      <c r="I111" s="19"/>
      <c r="J111" s="19"/>
      <c r="K111" s="19"/>
      <c r="L111" s="19"/>
      <c r="M111" s="16"/>
      <c r="N111" s="116">
        <f>IF(SUM(N$106:N$107)&gt;=P2_In_Deduct,(N$106/SUM(N$106:N$107))*P2_In_Deduct,N106)</f>
        <v>0</v>
      </c>
      <c r="O111" s="56"/>
      <c r="P111" s="69" t="s">
        <v>41</v>
      </c>
      <c r="Q111" s="16"/>
      <c r="R111" s="16"/>
      <c r="S111" s="16"/>
      <c r="T111" s="16"/>
      <c r="U111" s="16"/>
      <c r="V111" s="16"/>
      <c r="W111" s="16"/>
      <c r="X111" s="16"/>
      <c r="Y111" s="116">
        <f>IF(SUM(Y$106:Y$107)&gt;=P2_In_Deduct,(Y$106/SUM(Y$106:Y$107))*P2_In_Deduct,Y106)</f>
        <v>0</v>
      </c>
      <c r="Z111" s="56"/>
      <c r="AA111" s="69" t="s">
        <v>41</v>
      </c>
      <c r="AB111" s="16"/>
      <c r="AC111" s="16"/>
    </row>
    <row r="112" spans="1:29" ht="15" x14ac:dyDescent="0.25">
      <c r="B112" s="64"/>
      <c r="C112" s="116">
        <f>IF(SUM(C$106:C$107)&gt;=P2_In_Deduct,(C$107/SUM(C$106:C$107))*P2_In_Deduct,C107)</f>
        <v>0</v>
      </c>
      <c r="E112" s="70" t="s">
        <v>47</v>
      </c>
      <c r="G112" s="19"/>
      <c r="H112" s="19"/>
      <c r="I112" s="19"/>
      <c r="J112" s="19"/>
      <c r="K112" s="19"/>
      <c r="L112" s="19"/>
      <c r="M112" s="16"/>
      <c r="N112" s="116">
        <f>IF(SUM(N$106:N$107)&gt;=P2_In_Deduct,(N$107/SUM(N$106:N$107))*P2_In_Deduct,N107)</f>
        <v>0</v>
      </c>
      <c r="P112" s="70" t="s">
        <v>47</v>
      </c>
      <c r="Q112" s="16"/>
      <c r="R112" s="16"/>
      <c r="S112" s="16"/>
      <c r="W112" s="56"/>
      <c r="X112" s="16"/>
      <c r="Y112" s="116">
        <f>IF(SUM(Y$106:Y$107)&gt;=P2_In_Deduct,(Y$107/SUM(Y$106:Y$107))*P2_In_Deduct,Y107)</f>
        <v>0</v>
      </c>
      <c r="AA112" s="70" t="s">
        <v>47</v>
      </c>
      <c r="AB112" s="16"/>
      <c r="AC112" s="16"/>
    </row>
    <row r="113" spans="2:34" ht="15" x14ac:dyDescent="0.25">
      <c r="B113" s="64"/>
      <c r="C113" s="55"/>
      <c r="E113" s="70"/>
      <c r="G113" s="19"/>
      <c r="H113" s="19"/>
      <c r="I113" s="19"/>
      <c r="J113" s="19"/>
      <c r="K113" s="19"/>
      <c r="L113" s="19"/>
      <c r="M113" s="16"/>
      <c r="N113" s="55"/>
      <c r="P113" s="70"/>
      <c r="Q113" s="16"/>
      <c r="R113" s="16"/>
      <c r="S113" s="16"/>
      <c r="W113" s="56"/>
      <c r="X113" s="16"/>
      <c r="Y113" s="55"/>
      <c r="AA113" s="70"/>
      <c r="AB113" s="16"/>
      <c r="AC113" s="16"/>
    </row>
    <row r="114" spans="2:34" ht="15" x14ac:dyDescent="0.25">
      <c r="B114" s="64"/>
      <c r="C114" s="118">
        <f>MIN((C108-C111)*(1-P2_In_Coins),P2_In_OOPMax)</f>
        <v>0</v>
      </c>
      <c r="D114" s="56"/>
      <c r="E114" s="67" t="s">
        <v>42</v>
      </c>
      <c r="F114" s="19"/>
      <c r="G114" s="19"/>
      <c r="H114" s="19"/>
      <c r="I114" s="19"/>
      <c r="J114" s="19"/>
      <c r="K114" s="19"/>
      <c r="L114" s="19"/>
      <c r="M114" s="16"/>
      <c r="N114" s="54">
        <f>MIN((N108-N111)*(1-P2_In_Coins),P2_In_OOPMax)</f>
        <v>0</v>
      </c>
      <c r="O114" s="56"/>
      <c r="P114" s="67" t="s">
        <v>42</v>
      </c>
      <c r="Q114" s="16"/>
      <c r="R114" s="16"/>
      <c r="S114" s="16"/>
      <c r="W114" s="56"/>
      <c r="X114" s="16"/>
      <c r="Y114" s="54">
        <f>MIN((Y108-Y111)*(1-P2_In_Coins),P2_In_OOPMax)</f>
        <v>0</v>
      </c>
      <c r="Z114" s="56"/>
      <c r="AA114" s="67" t="s">
        <v>42</v>
      </c>
      <c r="AB114" s="16"/>
      <c r="AC114" s="16"/>
    </row>
    <row r="115" spans="2:34" ht="15.75" x14ac:dyDescent="0.25">
      <c r="B115" s="64"/>
      <c r="C115" s="119">
        <f>MIN((C109-C112)*(1-P2_Out_Coins),P2_Out_OOPMax)</f>
        <v>0</v>
      </c>
      <c r="D115" s="13"/>
      <c r="E115" s="68" t="s">
        <v>48</v>
      </c>
      <c r="F115" s="13"/>
      <c r="G115" s="13"/>
      <c r="H115" s="13"/>
      <c r="I115" s="13"/>
      <c r="J115" s="13"/>
      <c r="K115" s="13"/>
      <c r="L115" s="13"/>
      <c r="M115" s="12"/>
      <c r="N115" s="55">
        <f>MIN((N109-N112)*(1-P2_Out_Coins),P2_Out_OOPMax)</f>
        <v>0</v>
      </c>
      <c r="O115" s="13"/>
      <c r="P115" s="68" t="s">
        <v>48</v>
      </c>
      <c r="Q115" s="12"/>
      <c r="R115" s="12"/>
      <c r="S115" s="12"/>
      <c r="T115" s="71"/>
      <c r="U115" s="71"/>
      <c r="V115" s="12"/>
      <c r="W115" s="12"/>
      <c r="X115" s="12"/>
      <c r="Y115" s="55">
        <f>MIN((Y109-Y112)*(1-P2_Out_Coins),P2_Out_OOPMax)</f>
        <v>0</v>
      </c>
      <c r="Z115" s="13"/>
      <c r="AA115" s="68" t="s">
        <v>48</v>
      </c>
      <c r="AB115" s="12"/>
      <c r="AC115" s="12"/>
    </row>
    <row r="116" spans="2:34" ht="15" x14ac:dyDescent="0.25">
      <c r="B116" s="64"/>
      <c r="C116" s="19"/>
      <c r="D116" s="19"/>
      <c r="E116" s="19"/>
      <c r="F116" s="19"/>
      <c r="G116" s="19"/>
      <c r="H116" s="19"/>
      <c r="I116" s="19"/>
      <c r="J116" s="19"/>
      <c r="K116" s="19"/>
      <c r="L116" s="19"/>
      <c r="M116" s="16"/>
      <c r="N116" s="16"/>
      <c r="O116" s="16"/>
      <c r="P116" s="16"/>
      <c r="Q116" s="16"/>
      <c r="R116" s="16"/>
      <c r="S116" s="16"/>
      <c r="T116" s="72"/>
      <c r="U116" s="72"/>
      <c r="V116" s="16"/>
      <c r="W116" s="16"/>
      <c r="X116" s="16"/>
      <c r="Y116" s="16"/>
      <c r="Z116" s="16"/>
      <c r="AA116" s="16"/>
      <c r="AB116" s="16"/>
      <c r="AC116" s="16"/>
    </row>
    <row r="117" spans="2:34" ht="15" x14ac:dyDescent="0.25">
      <c r="B117" s="64"/>
      <c r="C117" s="132"/>
      <c r="D117" s="126" t="s">
        <v>90</v>
      </c>
      <c r="E117" s="127" t="s">
        <v>91</v>
      </c>
      <c r="F117" s="127" t="s">
        <v>92</v>
      </c>
      <c r="G117" s="132"/>
      <c r="H117" s="132"/>
      <c r="I117" s="132"/>
      <c r="J117" s="132"/>
      <c r="K117" s="132"/>
      <c r="L117" s="132"/>
      <c r="M117" s="16"/>
      <c r="N117" s="16"/>
      <c r="O117" s="16"/>
      <c r="P117" s="16"/>
      <c r="Q117" s="16"/>
      <c r="R117" s="16"/>
      <c r="S117" s="16"/>
      <c r="T117" s="16"/>
      <c r="U117" s="16"/>
      <c r="V117" s="16"/>
      <c r="W117" s="16"/>
      <c r="X117" s="16"/>
      <c r="Y117" s="16"/>
      <c r="Z117" s="16"/>
      <c r="AA117" s="16"/>
      <c r="AB117" s="16"/>
      <c r="AC117" s="16"/>
    </row>
    <row r="118" spans="2:34" ht="15.75" x14ac:dyDescent="0.25">
      <c r="B118" s="114"/>
      <c r="C118" s="126" t="s">
        <v>1</v>
      </c>
      <c r="D118" s="133">
        <f>IF(F118&lt;E118,F118,E118)</f>
        <v>0</v>
      </c>
      <c r="E118" s="135">
        <f>'Plan Defn'!E9</f>
        <v>3000</v>
      </c>
      <c r="F118" s="137">
        <f>SUM(L$118:L$121)</f>
        <v>0</v>
      </c>
      <c r="G118" s="127" t="s">
        <v>93</v>
      </c>
      <c r="H118" s="46"/>
      <c r="I118" s="46"/>
      <c r="J118" s="46"/>
      <c r="K118" s="126" t="s">
        <v>94</v>
      </c>
      <c r="L118" s="134">
        <f>V118</f>
        <v>0</v>
      </c>
      <c r="N118" s="12"/>
      <c r="O118" s="12"/>
      <c r="P118" s="12"/>
      <c r="Q118" s="12"/>
      <c r="R118" s="12"/>
      <c r="S118" s="12"/>
      <c r="T118" s="73" t="s">
        <v>43</v>
      </c>
      <c r="U118" s="73"/>
      <c r="V118" s="185">
        <f>MIN((C111+N111+Y111),(P2_In_Deduct*P2_In_FamMult))</f>
        <v>0</v>
      </c>
      <c r="W118" s="12"/>
      <c r="X118" s="12"/>
      <c r="Y118" s="12"/>
      <c r="Z118" s="12"/>
      <c r="AA118" s="12"/>
      <c r="AB118" s="12"/>
      <c r="AC118" s="12"/>
    </row>
    <row r="119" spans="2:34" ht="15" x14ac:dyDescent="0.25">
      <c r="B119" s="117"/>
      <c r="C119" s="126" t="s">
        <v>78</v>
      </c>
      <c r="D119" s="133">
        <f>IF(F119&lt;E119,F119,E119)</f>
        <v>0</v>
      </c>
      <c r="E119" s="135">
        <f>'Plan Defn'!E$10</f>
        <v>6000</v>
      </c>
      <c r="F119" s="137">
        <f t="shared" ref="F119:F123" si="0">SUM(L$118:L$121)</f>
        <v>0</v>
      </c>
      <c r="G119" s="127" t="s">
        <v>93</v>
      </c>
      <c r="H119" s="132"/>
      <c r="I119" s="132"/>
      <c r="J119" s="132"/>
      <c r="K119" s="126" t="s">
        <v>95</v>
      </c>
      <c r="L119" s="134">
        <f>V121</f>
        <v>0</v>
      </c>
      <c r="N119" s="16"/>
      <c r="O119" s="16"/>
      <c r="P119" s="16"/>
      <c r="Q119" s="16"/>
      <c r="R119" s="16"/>
      <c r="S119" s="16"/>
      <c r="T119" s="73" t="s">
        <v>49</v>
      </c>
      <c r="V119" s="185">
        <f>MIN((C112+N112+Y112),(P2_Out_Deduct*P2_Out_FamMult))</f>
        <v>0</v>
      </c>
      <c r="W119" s="16"/>
      <c r="X119" s="16"/>
      <c r="Y119" s="16"/>
      <c r="Z119" s="16"/>
      <c r="AA119" s="16"/>
      <c r="AB119" s="16"/>
      <c r="AC119" s="16"/>
    </row>
    <row r="120" spans="2:34" ht="14.25" x14ac:dyDescent="0.2">
      <c r="B120" s="117"/>
      <c r="C120" s="126" t="s">
        <v>79</v>
      </c>
      <c r="D120" s="133">
        <f t="shared" ref="D120:D123" si="1">IF(F120&lt;E120,F120,E120)</f>
        <v>0</v>
      </c>
      <c r="E120" s="135">
        <f>'Plan Defn'!E$10</f>
        <v>6000</v>
      </c>
      <c r="F120" s="137">
        <f t="shared" si="0"/>
        <v>0</v>
      </c>
      <c r="G120" s="127" t="s">
        <v>93</v>
      </c>
      <c r="H120" s="132"/>
      <c r="I120" s="132"/>
      <c r="J120" s="132"/>
      <c r="K120" s="126" t="s">
        <v>96</v>
      </c>
      <c r="L120" s="134">
        <f>SUM(C94,N94,Y94)</f>
        <v>0</v>
      </c>
      <c r="N120" s="16"/>
      <c r="O120" s="16"/>
      <c r="P120" s="16"/>
      <c r="Q120" s="16"/>
      <c r="R120" s="16"/>
      <c r="S120" s="16"/>
      <c r="T120" s="16"/>
      <c r="U120" s="16"/>
      <c r="V120" s="186"/>
      <c r="W120" s="16"/>
      <c r="X120" s="16"/>
      <c r="Y120" s="16"/>
      <c r="Z120" s="16"/>
      <c r="AA120" s="16"/>
      <c r="AB120" s="16"/>
      <c r="AC120" s="16"/>
    </row>
    <row r="121" spans="2:34" ht="15.75" x14ac:dyDescent="0.25">
      <c r="B121" s="64"/>
      <c r="C121" s="126" t="s">
        <v>80</v>
      </c>
      <c r="D121" s="133">
        <f t="shared" si="1"/>
        <v>0</v>
      </c>
      <c r="E121" s="135">
        <f>'Plan Defn'!E$10</f>
        <v>6000</v>
      </c>
      <c r="F121" s="137">
        <f t="shared" si="0"/>
        <v>0</v>
      </c>
      <c r="G121" s="127" t="s">
        <v>93</v>
      </c>
      <c r="H121" s="46"/>
      <c r="I121" s="46"/>
      <c r="J121" s="46"/>
      <c r="K121" s="126" t="s">
        <v>97</v>
      </c>
      <c r="L121" s="134">
        <f>C101</f>
        <v>0</v>
      </c>
      <c r="N121" s="12"/>
      <c r="O121" s="12"/>
      <c r="P121" s="12"/>
      <c r="Q121" s="12"/>
      <c r="R121" s="12"/>
      <c r="S121" s="12"/>
      <c r="T121" s="73" t="s">
        <v>44</v>
      </c>
      <c r="U121" s="73"/>
      <c r="V121" s="187">
        <f>MAX(0,(SUM(C108:Y108)-V118)*(1-P2_In_OVCoins))</f>
        <v>0</v>
      </c>
      <c r="W121" s="12"/>
      <c r="X121" s="12"/>
      <c r="Y121" s="12"/>
      <c r="Z121" s="12"/>
      <c r="AA121" s="12"/>
      <c r="AB121" s="12"/>
      <c r="AC121" s="12"/>
    </row>
    <row r="122" spans="2:34" ht="15" x14ac:dyDescent="0.25">
      <c r="B122" s="64"/>
      <c r="C122" s="126" t="s">
        <v>81</v>
      </c>
      <c r="D122" s="133">
        <f t="shared" si="1"/>
        <v>0</v>
      </c>
      <c r="E122" s="135">
        <f>'Plan Defn'!E$10</f>
        <v>6000</v>
      </c>
      <c r="F122" s="137">
        <f t="shared" si="0"/>
        <v>0</v>
      </c>
      <c r="G122" s="127" t="s">
        <v>93</v>
      </c>
      <c r="H122" s="132"/>
      <c r="I122" s="132"/>
      <c r="J122" s="132"/>
      <c r="K122" s="132"/>
      <c r="L122" s="132"/>
      <c r="M122" s="16"/>
      <c r="N122" s="16"/>
      <c r="O122" s="16"/>
      <c r="P122" s="16"/>
      <c r="Q122" s="16"/>
      <c r="R122" s="16"/>
      <c r="S122" s="16"/>
      <c r="T122" s="73" t="s">
        <v>50</v>
      </c>
      <c r="U122" s="16"/>
      <c r="V122" s="187">
        <f>MIN((C115+N115+Y115),(P2_Out_OOPMax*P2_Out_FamMult))</f>
        <v>0</v>
      </c>
      <c r="W122" s="16"/>
      <c r="X122" s="16"/>
      <c r="Y122" s="16"/>
      <c r="Z122" s="16"/>
      <c r="AA122" s="16"/>
      <c r="AB122" s="16"/>
      <c r="AC122" s="16"/>
    </row>
    <row r="123" spans="2:34" ht="14.25" x14ac:dyDescent="0.2">
      <c r="B123" s="16"/>
      <c r="C123" s="126" t="s">
        <v>82</v>
      </c>
      <c r="D123" s="133">
        <f t="shared" si="1"/>
        <v>0</v>
      </c>
      <c r="E123" s="135">
        <f>'Plan Defn'!E$10</f>
        <v>6000</v>
      </c>
      <c r="F123" s="137">
        <f t="shared" si="0"/>
        <v>0</v>
      </c>
      <c r="G123" s="127" t="s">
        <v>93</v>
      </c>
      <c r="H123" s="132"/>
      <c r="I123" s="132"/>
      <c r="J123" s="132"/>
      <c r="K123" s="132"/>
      <c r="L123" s="132"/>
      <c r="M123" s="16"/>
      <c r="N123" s="16"/>
      <c r="O123" s="16"/>
      <c r="P123" s="16"/>
      <c r="Q123" s="16"/>
      <c r="R123" s="16"/>
      <c r="S123" s="16"/>
      <c r="T123" s="16"/>
      <c r="U123" s="16"/>
      <c r="V123" s="16"/>
      <c r="W123" s="16"/>
      <c r="X123" s="16"/>
      <c r="Y123" s="16"/>
      <c r="Z123" s="16"/>
      <c r="AA123" s="16"/>
      <c r="AB123" s="16"/>
      <c r="AC123" s="16"/>
    </row>
    <row r="124" spans="2:34" ht="15.75" x14ac:dyDescent="0.25">
      <c r="B124" s="48"/>
      <c r="C124" s="215" t="s">
        <v>3</v>
      </c>
      <c r="D124" s="215"/>
      <c r="E124" s="215"/>
      <c r="F124" s="215"/>
      <c r="G124" s="215"/>
      <c r="H124" s="215"/>
      <c r="I124" s="215"/>
      <c r="J124" s="215"/>
      <c r="K124" s="215"/>
      <c r="L124" s="49"/>
      <c r="M124" s="50"/>
      <c r="N124" s="215" t="s">
        <v>4</v>
      </c>
      <c r="O124" s="215"/>
      <c r="P124" s="215"/>
      <c r="Q124" s="215"/>
      <c r="R124" s="215"/>
      <c r="S124" s="215"/>
      <c r="T124" s="215"/>
      <c r="U124" s="215"/>
      <c r="V124" s="215"/>
      <c r="W124" s="49"/>
      <c r="X124" s="50"/>
      <c r="Y124" s="215" t="s">
        <v>7</v>
      </c>
      <c r="Z124" s="215"/>
      <c r="AA124" s="215"/>
      <c r="AB124" s="215"/>
      <c r="AC124" s="215"/>
      <c r="AD124" s="215"/>
      <c r="AE124" s="215"/>
      <c r="AF124" s="215"/>
      <c r="AG124" s="215"/>
      <c r="AH124" s="215"/>
    </row>
    <row r="125" spans="2:34" ht="15.75" x14ac:dyDescent="0.25">
      <c r="B125" s="48"/>
      <c r="C125" s="214" t="s">
        <v>18</v>
      </c>
      <c r="D125" s="214"/>
      <c r="E125" s="214" t="s">
        <v>19</v>
      </c>
      <c r="F125" s="214"/>
      <c r="G125" s="216" t="s">
        <v>20</v>
      </c>
      <c r="H125" s="216"/>
      <c r="I125" s="214" t="s">
        <v>21</v>
      </c>
      <c r="J125" s="214"/>
      <c r="K125" s="214" t="s">
        <v>22</v>
      </c>
      <c r="L125" s="214"/>
      <c r="M125" s="50"/>
      <c r="N125" s="214" t="s">
        <v>18</v>
      </c>
      <c r="O125" s="214"/>
      <c r="P125" s="214" t="s">
        <v>19</v>
      </c>
      <c r="Q125" s="214"/>
      <c r="R125" s="216" t="s">
        <v>20</v>
      </c>
      <c r="S125" s="216"/>
      <c r="T125" s="214" t="s">
        <v>21</v>
      </c>
      <c r="U125" s="214"/>
      <c r="V125" s="214" t="s">
        <v>22</v>
      </c>
      <c r="W125" s="214"/>
      <c r="X125" s="50"/>
      <c r="Y125" s="214" t="s">
        <v>18</v>
      </c>
      <c r="Z125" s="214"/>
      <c r="AA125" s="214" t="s">
        <v>19</v>
      </c>
      <c r="AB125" s="214"/>
      <c r="AC125" s="216" t="s">
        <v>20</v>
      </c>
      <c r="AD125" s="216"/>
      <c r="AE125" s="214" t="s">
        <v>21</v>
      </c>
      <c r="AF125" s="214"/>
      <c r="AG125" s="214" t="s">
        <v>22</v>
      </c>
      <c r="AH125" s="214"/>
    </row>
    <row r="126" spans="2:34" ht="14.25" x14ac:dyDescent="0.2">
      <c r="B126" s="51"/>
      <c r="C126" s="212" t="s">
        <v>23</v>
      </c>
      <c r="D126" s="212"/>
      <c r="E126" s="212" t="s">
        <v>23</v>
      </c>
      <c r="F126" s="212"/>
      <c r="G126" s="212" t="s">
        <v>23</v>
      </c>
      <c r="H126" s="212"/>
      <c r="I126" s="212" t="s">
        <v>23</v>
      </c>
      <c r="J126" s="212"/>
      <c r="K126" s="212" t="s">
        <v>23</v>
      </c>
      <c r="L126" s="212"/>
      <c r="M126" s="52"/>
      <c r="N126" s="212" t="s">
        <v>23</v>
      </c>
      <c r="O126" s="212"/>
      <c r="P126" s="212" t="s">
        <v>23</v>
      </c>
      <c r="Q126" s="212"/>
      <c r="R126" s="212" t="s">
        <v>23</v>
      </c>
      <c r="S126" s="212"/>
      <c r="T126" s="212" t="s">
        <v>23</v>
      </c>
      <c r="U126" s="212"/>
      <c r="V126" s="212" t="s">
        <v>23</v>
      </c>
      <c r="W126" s="212"/>
      <c r="X126" s="52"/>
      <c r="Y126" s="212" t="s">
        <v>23</v>
      </c>
      <c r="Z126" s="212"/>
      <c r="AA126" s="212" t="s">
        <v>23</v>
      </c>
      <c r="AB126" s="212"/>
      <c r="AC126" s="212" t="s">
        <v>23</v>
      </c>
      <c r="AD126" s="212"/>
      <c r="AE126" s="212" t="s">
        <v>23</v>
      </c>
      <c r="AF126" s="212"/>
      <c r="AG126" s="212" t="s">
        <v>23</v>
      </c>
      <c r="AH126" s="212"/>
    </row>
    <row r="127" spans="2:34" ht="14.25" x14ac:dyDescent="0.2">
      <c r="B127" s="51"/>
      <c r="C127" s="19" t="s">
        <v>24</v>
      </c>
      <c r="D127" s="19" t="s">
        <v>25</v>
      </c>
      <c r="E127" s="19" t="s">
        <v>24</v>
      </c>
      <c r="F127" s="19" t="s">
        <v>25</v>
      </c>
      <c r="G127" s="19" t="s">
        <v>24</v>
      </c>
      <c r="H127" s="19" t="s">
        <v>25</v>
      </c>
      <c r="I127" s="19" t="s">
        <v>24</v>
      </c>
      <c r="J127" s="19" t="s">
        <v>25</v>
      </c>
      <c r="K127" s="19" t="s">
        <v>24</v>
      </c>
      <c r="L127" s="19" t="s">
        <v>25</v>
      </c>
      <c r="M127" s="52"/>
      <c r="N127" s="19" t="s">
        <v>24</v>
      </c>
      <c r="O127" s="19" t="s">
        <v>25</v>
      </c>
      <c r="P127" s="19" t="s">
        <v>24</v>
      </c>
      <c r="Q127" s="19" t="s">
        <v>25</v>
      </c>
      <c r="R127" s="19" t="s">
        <v>24</v>
      </c>
      <c r="S127" s="19" t="s">
        <v>25</v>
      </c>
      <c r="T127" s="19" t="s">
        <v>24</v>
      </c>
      <c r="U127" s="19" t="s">
        <v>25</v>
      </c>
      <c r="V127" s="19" t="s">
        <v>24</v>
      </c>
      <c r="W127" s="19" t="s">
        <v>25</v>
      </c>
      <c r="X127" s="52"/>
      <c r="Y127" s="19" t="s">
        <v>24</v>
      </c>
      <c r="Z127" s="19" t="s">
        <v>25</v>
      </c>
      <c r="AA127" s="19" t="s">
        <v>24</v>
      </c>
      <c r="AB127" s="19" t="s">
        <v>25</v>
      </c>
      <c r="AC127" s="19" t="s">
        <v>24</v>
      </c>
      <c r="AD127" s="19" t="s">
        <v>25</v>
      </c>
      <c r="AE127" s="19" t="s">
        <v>24</v>
      </c>
      <c r="AF127" s="19" t="s">
        <v>25</v>
      </c>
      <c r="AG127" s="19" t="s">
        <v>24</v>
      </c>
      <c r="AH127" s="19" t="s">
        <v>25</v>
      </c>
    </row>
    <row r="128" spans="2:34" ht="15" x14ac:dyDescent="0.25">
      <c r="B128" s="53" t="s">
        <v>26</v>
      </c>
      <c r="C128" s="54">
        <f>IF('Plan Comparison Calculator'!$G$11=FALSE,0,3*P3_In_OV+P3_In_Maternity_IP_Copay)</f>
        <v>0</v>
      </c>
      <c r="D128" s="55"/>
      <c r="E128" s="54">
        <f>IF('Plan Comparison Calculator'!$G$11=FALSE,0,Maternity_Office)</f>
        <v>0</v>
      </c>
      <c r="F128" s="55"/>
      <c r="G128" s="54">
        <f>IF('Plan Comparison Calculator'!$G$11=FALSE,0,Maternity_XrayLab)</f>
        <v>0</v>
      </c>
      <c r="H128" s="55"/>
      <c r="I128" s="54">
        <f>IF('Plan Comparison Calculator'!$G$11=FALSE,0,Maternity_Facility)</f>
        <v>0</v>
      </c>
      <c r="J128" s="55"/>
      <c r="K128" s="54">
        <f>IF('Plan Comparison Calculator'!$G$11=FALSE,0,Maternity_Physician)</f>
        <v>0</v>
      </c>
      <c r="L128" s="55"/>
      <c r="M128" s="52"/>
      <c r="N128" s="54">
        <f>IF('Plan Comparison Calculator'!$I$11=FALSE,0,3*P3_In_OV+P3_In_Maternity_IP_Copay)</f>
        <v>0</v>
      </c>
      <c r="O128" s="55"/>
      <c r="P128" s="54">
        <f>IF('Plan Comparison Calculator'!$I$11=FALSE,0,Maternity_Office)</f>
        <v>0</v>
      </c>
      <c r="Q128" s="55"/>
      <c r="R128" s="54">
        <f>IF('Plan Comparison Calculator'!$I$11=FALSE,0,Maternity_XrayLab)</f>
        <v>0</v>
      </c>
      <c r="S128" s="55"/>
      <c r="T128" s="54">
        <f>IF('Plan Comparison Calculator'!$I$11=FALSE,0,Maternity_Facility)</f>
        <v>0</v>
      </c>
      <c r="U128" s="55"/>
      <c r="V128" s="54">
        <f>IF('Plan Comparison Calculator'!$I$11=FALSE,0,Maternity_Physician)</f>
        <v>0</v>
      </c>
      <c r="W128" s="55"/>
      <c r="X128" s="52"/>
      <c r="Y128" s="54"/>
      <c r="Z128" s="55"/>
      <c r="AA128" s="54"/>
      <c r="AB128" s="55"/>
      <c r="AC128" s="54"/>
      <c r="AD128" s="55"/>
      <c r="AE128" s="54">
        <f>IF(AND('Plan Comparison Calculator'!$G$11=FALSE,'Plan Comparison Calculator'!$I$11=FALSE),0,Baby_Facility)</f>
        <v>0</v>
      </c>
      <c r="AF128" s="55"/>
      <c r="AG128" s="54">
        <f>IF(AND('Plan Comparison Calculator'!$G$11=FALSE,'Plan Comparison Calculator'!$I$11=FALSE),0,Baby_Physician)</f>
        <v>0</v>
      </c>
      <c r="AH128" s="55"/>
    </row>
    <row r="129" spans="1:34" ht="15" x14ac:dyDescent="0.25">
      <c r="B129" s="53"/>
      <c r="C129" s="54"/>
      <c r="D129" s="55"/>
      <c r="E129" s="54"/>
      <c r="F129" s="55"/>
      <c r="G129" s="54"/>
      <c r="H129" s="55"/>
      <c r="I129" s="54"/>
      <c r="J129" s="55"/>
      <c r="K129" s="54"/>
      <c r="L129" s="55"/>
      <c r="M129" s="52"/>
      <c r="N129" s="54"/>
      <c r="O129" s="55"/>
      <c r="P129" s="54"/>
      <c r="Q129" s="55"/>
      <c r="R129" s="54"/>
      <c r="S129" s="55"/>
      <c r="T129" s="54"/>
      <c r="U129" s="55"/>
      <c r="V129" s="54"/>
      <c r="W129" s="55"/>
      <c r="X129" s="52"/>
      <c r="Y129" s="54"/>
      <c r="Z129" s="55"/>
      <c r="AA129" s="54"/>
      <c r="AB129" s="55"/>
      <c r="AC129" s="54"/>
      <c r="AD129" s="55"/>
      <c r="AE129" s="54"/>
      <c r="AF129" s="55"/>
      <c r="AG129" s="54"/>
      <c r="AH129" s="55"/>
    </row>
    <row r="130" spans="1:34" ht="15" x14ac:dyDescent="0.25">
      <c r="B130" s="53"/>
      <c r="C130" s="54"/>
      <c r="D130" s="55"/>
      <c r="E130" s="54"/>
      <c r="F130" s="55"/>
      <c r="G130" s="54"/>
      <c r="H130" s="55"/>
      <c r="I130" s="54"/>
      <c r="J130" s="55"/>
      <c r="K130" s="54"/>
      <c r="L130" s="55"/>
      <c r="M130" s="52"/>
      <c r="N130" s="54"/>
      <c r="O130" s="55"/>
      <c r="P130" s="54"/>
      <c r="Q130" s="55"/>
      <c r="R130" s="54"/>
      <c r="S130" s="55"/>
      <c r="T130" s="54"/>
      <c r="U130" s="55"/>
      <c r="V130" s="54"/>
      <c r="W130" s="55"/>
      <c r="X130" s="52"/>
      <c r="Y130" s="54"/>
      <c r="Z130" s="55"/>
      <c r="AA130" s="54"/>
      <c r="AB130" s="55"/>
      <c r="AC130" s="54"/>
      <c r="AD130" s="55"/>
      <c r="AE130" s="54"/>
      <c r="AF130" s="55"/>
      <c r="AG130" s="54"/>
      <c r="AH130" s="55"/>
    </row>
    <row r="131" spans="1:34" ht="15" x14ac:dyDescent="0.25">
      <c r="B131" s="53"/>
      <c r="C131" s="54"/>
      <c r="D131" s="55"/>
      <c r="E131" s="54"/>
      <c r="F131" s="55"/>
      <c r="G131" s="54"/>
      <c r="H131" s="55"/>
      <c r="I131" s="54"/>
      <c r="J131" s="55"/>
      <c r="K131" s="54"/>
      <c r="L131" s="55"/>
      <c r="M131" s="52"/>
      <c r="N131" s="54"/>
      <c r="O131" s="55"/>
      <c r="P131" s="54"/>
      <c r="Q131" s="55"/>
      <c r="R131" s="54"/>
      <c r="S131" s="55"/>
      <c r="T131" s="54"/>
      <c r="U131" s="55"/>
      <c r="V131" s="54"/>
      <c r="W131" s="55"/>
      <c r="X131" s="52"/>
      <c r="Y131" s="54"/>
      <c r="Z131" s="55"/>
      <c r="AA131" s="54"/>
      <c r="AB131" s="55"/>
      <c r="AC131" s="54"/>
      <c r="AD131" s="55"/>
      <c r="AE131" s="54"/>
      <c r="AF131" s="55"/>
      <c r="AG131" s="54"/>
      <c r="AH131" s="55"/>
    </row>
    <row r="132" spans="1:34" ht="15" x14ac:dyDescent="0.25">
      <c r="B132" s="53"/>
      <c r="C132" s="54"/>
      <c r="D132" s="55"/>
      <c r="E132" s="54"/>
      <c r="F132" s="55"/>
      <c r="G132" s="54"/>
      <c r="H132" s="55"/>
      <c r="I132" s="54"/>
      <c r="J132" s="55"/>
      <c r="K132" s="54"/>
      <c r="L132" s="55"/>
      <c r="M132" s="52"/>
      <c r="N132" s="54"/>
      <c r="O132" s="55"/>
      <c r="P132" s="54"/>
      <c r="Q132" s="55"/>
      <c r="R132" s="54"/>
      <c r="S132" s="55"/>
      <c r="T132" s="54"/>
      <c r="U132" s="55"/>
      <c r="V132" s="54"/>
      <c r="W132" s="55"/>
      <c r="X132" s="52"/>
      <c r="Y132" s="54"/>
      <c r="Z132" s="55"/>
      <c r="AA132" s="54"/>
      <c r="AB132" s="55"/>
      <c r="AC132" s="54"/>
      <c r="AD132" s="55"/>
      <c r="AE132" s="54"/>
      <c r="AF132" s="55"/>
      <c r="AG132" s="54"/>
      <c r="AH132" s="55"/>
    </row>
    <row r="133" spans="1:34" ht="15" x14ac:dyDescent="0.25">
      <c r="B133" s="53"/>
      <c r="C133" s="54"/>
      <c r="D133" s="55"/>
      <c r="E133" s="54"/>
      <c r="F133" s="55"/>
      <c r="G133" s="54"/>
      <c r="H133" s="55"/>
      <c r="I133" s="54"/>
      <c r="J133" s="55"/>
      <c r="K133" s="54"/>
      <c r="L133" s="55"/>
      <c r="M133" s="52"/>
      <c r="N133" s="54"/>
      <c r="O133" s="55"/>
      <c r="P133" s="54"/>
      <c r="Q133" s="55"/>
      <c r="R133" s="54"/>
      <c r="S133" s="55"/>
      <c r="T133" s="54"/>
      <c r="U133" s="55"/>
      <c r="V133" s="54"/>
      <c r="W133" s="55"/>
      <c r="X133" s="52"/>
      <c r="Y133" s="54"/>
      <c r="Z133" s="55"/>
      <c r="AA133" s="54"/>
      <c r="AB133" s="55"/>
      <c r="AC133" s="54"/>
      <c r="AD133" s="55"/>
      <c r="AE133" s="54"/>
      <c r="AF133" s="55"/>
      <c r="AG133" s="54"/>
      <c r="AH133" s="55"/>
    </row>
    <row r="134" spans="1:34" ht="15" x14ac:dyDescent="0.25">
      <c r="B134" s="53" t="s">
        <v>27</v>
      </c>
      <c r="C134" s="54">
        <f>'Plan Comparison Calculator'!$G$17*P3_In_OV*0</f>
        <v>0</v>
      </c>
      <c r="D134" s="55"/>
      <c r="E134" s="54">
        <f>'Plan Comparison Calculator'!$G$17*Physical_Office-C134</f>
        <v>0</v>
      </c>
      <c r="F134" s="55"/>
      <c r="G134" s="54">
        <f>'Plan Comparison Calculator'!$G$17*Physical_XrayLab</f>
        <v>0</v>
      </c>
      <c r="H134" s="55"/>
      <c r="I134" s="54"/>
      <c r="J134" s="55"/>
      <c r="K134" s="54"/>
      <c r="L134" s="55"/>
      <c r="M134" s="52"/>
      <c r="N134" s="54">
        <f>'Plan Comparison Calculator'!$I$17*P3_In_OV*0</f>
        <v>0</v>
      </c>
      <c r="O134" s="55"/>
      <c r="P134" s="54">
        <f>'Plan Comparison Calculator'!$I$17*Physical_Office-N134</f>
        <v>0</v>
      </c>
      <c r="Q134" s="55"/>
      <c r="R134" s="54">
        <f>'Plan Comparison Calculator'!$I$17*Physical_XrayLab</f>
        <v>0</v>
      </c>
      <c r="S134" s="55"/>
      <c r="T134" s="54"/>
      <c r="U134" s="55"/>
      <c r="V134" s="54"/>
      <c r="W134" s="55"/>
      <c r="X134" s="52"/>
      <c r="Y134" s="54">
        <f>'Plan Comparison Calculator'!$J$17*P3_In_OV*0</f>
        <v>0</v>
      </c>
      <c r="Z134" s="55"/>
      <c r="AA134" s="54">
        <f>'Plan Comparison Calculator'!$J$17*Physical_Office-Y134</f>
        <v>0</v>
      </c>
      <c r="AB134" s="55"/>
      <c r="AC134" s="54">
        <f>'Plan Comparison Calculator'!$J$17*Physical_XrayLab</f>
        <v>0</v>
      </c>
      <c r="AD134" s="55"/>
      <c r="AE134" s="54"/>
      <c r="AF134" s="55"/>
      <c r="AG134" s="54"/>
      <c r="AH134" s="55"/>
    </row>
    <row r="135" spans="1:34" ht="15" x14ac:dyDescent="0.25">
      <c r="B135" s="53"/>
      <c r="C135" s="54"/>
      <c r="D135" s="55"/>
      <c r="E135" s="54"/>
      <c r="F135" s="55"/>
      <c r="G135" s="54"/>
      <c r="H135" s="55"/>
      <c r="I135" s="54"/>
      <c r="J135" s="55"/>
      <c r="K135" s="54"/>
      <c r="L135" s="55"/>
      <c r="M135" s="52"/>
      <c r="N135" s="54"/>
      <c r="O135" s="55"/>
      <c r="P135" s="54"/>
      <c r="Q135" s="55"/>
      <c r="R135" s="54"/>
      <c r="S135" s="55"/>
      <c r="T135" s="54"/>
      <c r="U135" s="55"/>
      <c r="V135" s="54"/>
      <c r="W135" s="55"/>
      <c r="X135" s="52"/>
      <c r="Y135" s="54"/>
      <c r="Z135" s="55"/>
      <c r="AA135" s="54"/>
      <c r="AB135" s="55"/>
      <c r="AC135" s="54"/>
      <c r="AD135" s="55"/>
      <c r="AE135" s="54"/>
      <c r="AF135" s="55"/>
      <c r="AG135" s="54"/>
      <c r="AH135" s="55"/>
    </row>
    <row r="136" spans="1:34" ht="15" x14ac:dyDescent="0.25">
      <c r="B136" s="53" t="s">
        <v>28</v>
      </c>
      <c r="C136" s="54">
        <f>'Plan Comparison Calculator'!$G$19*P3_In_OV</f>
        <v>0</v>
      </c>
      <c r="D136" s="55"/>
      <c r="E136" s="54">
        <v>0</v>
      </c>
      <c r="F136" s="55"/>
      <c r="G136" s="54">
        <f>'Plan Comparison Calculator'!$G$19*Primary_XrayLab</f>
        <v>0</v>
      </c>
      <c r="H136" s="55"/>
      <c r="I136" s="54"/>
      <c r="J136" s="55"/>
      <c r="K136" s="54"/>
      <c r="L136" s="55"/>
      <c r="M136" s="52"/>
      <c r="N136" s="54">
        <f>'Plan Comparison Calculator'!$I$19*P3_In_OV</f>
        <v>0</v>
      </c>
      <c r="O136" s="55"/>
      <c r="P136" s="54">
        <v>0</v>
      </c>
      <c r="Q136" s="55"/>
      <c r="R136" s="54">
        <f>'Plan Comparison Calculator'!$I$19*Primary_XrayLab</f>
        <v>0</v>
      </c>
      <c r="S136" s="55"/>
      <c r="T136" s="54"/>
      <c r="U136" s="55"/>
      <c r="V136" s="54"/>
      <c r="W136" s="55"/>
      <c r="X136" s="52"/>
      <c r="Y136" s="54">
        <f>'Plan Comparison Calculator'!J19*P3_In_OV</f>
        <v>0</v>
      </c>
      <c r="Z136" s="55"/>
      <c r="AA136" s="54">
        <v>0</v>
      </c>
      <c r="AB136" s="55"/>
      <c r="AC136" s="54">
        <f>'Plan Comparison Calculator'!$J$19*Primary_XrayLab</f>
        <v>0</v>
      </c>
      <c r="AD136" s="55"/>
      <c r="AE136" s="54"/>
      <c r="AF136" s="55"/>
      <c r="AG136" s="54"/>
      <c r="AH136" s="55"/>
    </row>
    <row r="137" spans="1:34" ht="15" x14ac:dyDescent="0.25">
      <c r="B137" s="53"/>
      <c r="C137" s="54"/>
      <c r="D137" s="55"/>
      <c r="E137" s="54"/>
      <c r="F137" s="55"/>
      <c r="G137" s="54"/>
      <c r="H137" s="55"/>
      <c r="I137" s="54"/>
      <c r="J137" s="55"/>
      <c r="K137" s="54"/>
      <c r="L137" s="55"/>
      <c r="M137" s="52"/>
      <c r="N137" s="54"/>
      <c r="O137" s="55"/>
      <c r="P137" s="54"/>
      <c r="Q137" s="55"/>
      <c r="R137" s="54"/>
      <c r="S137" s="55"/>
      <c r="T137" s="54"/>
      <c r="U137" s="55"/>
      <c r="V137" s="54"/>
      <c r="W137" s="55"/>
      <c r="X137" s="52"/>
      <c r="Y137" s="54"/>
      <c r="Z137" s="55"/>
      <c r="AA137" s="54"/>
      <c r="AB137" s="55"/>
      <c r="AC137" s="54"/>
      <c r="AD137" s="55"/>
      <c r="AE137" s="54"/>
      <c r="AF137" s="55"/>
      <c r="AG137" s="54"/>
      <c r="AH137" s="55"/>
    </row>
    <row r="138" spans="1:34" ht="15" x14ac:dyDescent="0.25">
      <c r="A138" s="213" t="str">
        <f>P3_Plan</f>
        <v>Virtual Plus Plan</v>
      </c>
      <c r="B138" s="53" t="s">
        <v>29</v>
      </c>
      <c r="C138" s="180">
        <f>'Plan Comparison Calculator'!$G$21*'Plan Defn'!H12</f>
        <v>0</v>
      </c>
      <c r="D138" s="55"/>
      <c r="E138" s="180">
        <v>0</v>
      </c>
      <c r="F138" s="55"/>
      <c r="G138" s="54">
        <v>0</v>
      </c>
      <c r="H138" s="55"/>
      <c r="I138" s="54"/>
      <c r="J138" s="55"/>
      <c r="K138" s="54"/>
      <c r="L138" s="55"/>
      <c r="M138" s="52"/>
      <c r="N138" s="180">
        <f>'Plan Comparison Calculator'!I19*'Plan Defn'!H12</f>
        <v>0</v>
      </c>
      <c r="O138" s="55"/>
      <c r="P138" s="180">
        <v>0</v>
      </c>
      <c r="Q138" s="55"/>
      <c r="R138" s="54">
        <v>0</v>
      </c>
      <c r="S138" s="55"/>
      <c r="T138" s="54"/>
      <c r="U138" s="55"/>
      <c r="V138" s="54"/>
      <c r="W138" s="55"/>
      <c r="X138" s="52"/>
      <c r="Y138" s="180">
        <f>'Plan Comparison Calculator'!J21*'Plan Defn'!H12</f>
        <v>0</v>
      </c>
      <c r="Z138" s="55"/>
      <c r="AA138" s="180">
        <v>0</v>
      </c>
      <c r="AB138" s="55"/>
      <c r="AC138" s="54">
        <v>0</v>
      </c>
      <c r="AD138" s="55"/>
      <c r="AE138" s="54"/>
      <c r="AF138" s="55"/>
      <c r="AG138" s="54"/>
      <c r="AH138" s="55"/>
    </row>
    <row r="139" spans="1:34" ht="15" x14ac:dyDescent="0.25">
      <c r="A139" s="213"/>
      <c r="B139" s="53"/>
      <c r="C139" s="54"/>
      <c r="D139" s="55"/>
      <c r="E139" s="54"/>
      <c r="F139" s="55"/>
      <c r="G139" s="54"/>
      <c r="H139" s="55"/>
      <c r="I139" s="54"/>
      <c r="J139" s="55"/>
      <c r="K139" s="54"/>
      <c r="L139" s="55"/>
      <c r="M139" s="52"/>
      <c r="N139" s="54"/>
      <c r="O139" s="55"/>
      <c r="P139" s="54"/>
      <c r="Q139" s="55"/>
      <c r="R139" s="54"/>
      <c r="S139" s="55"/>
      <c r="T139" s="54"/>
      <c r="U139" s="55"/>
      <c r="V139" s="54"/>
      <c r="W139" s="55"/>
      <c r="X139" s="52"/>
      <c r="Y139" s="54"/>
      <c r="Z139" s="55"/>
      <c r="AA139" s="54"/>
      <c r="AB139" s="55"/>
      <c r="AC139" s="54"/>
      <c r="AD139" s="55"/>
      <c r="AE139" s="54"/>
      <c r="AF139" s="55"/>
      <c r="AG139" s="54"/>
      <c r="AH139" s="55"/>
    </row>
    <row r="140" spans="1:34" ht="15" x14ac:dyDescent="0.25">
      <c r="A140" s="213"/>
      <c r="B140" s="53" t="s">
        <v>30</v>
      </c>
      <c r="C140" s="54">
        <f>'Plan Comparison Calculator'!$G$23*P3_In_ER</f>
        <v>0</v>
      </c>
      <c r="D140" s="55"/>
      <c r="E140" s="54"/>
      <c r="F140" s="55"/>
      <c r="G140" s="54"/>
      <c r="H140" s="55"/>
      <c r="I140" s="54">
        <f>ER*'Plan Comparison Calculator'!$G$23-C140</f>
        <v>0</v>
      </c>
      <c r="J140" s="55"/>
      <c r="K140" s="54"/>
      <c r="L140" s="55"/>
      <c r="M140" s="52"/>
      <c r="N140" s="180">
        <f>'Plan Comparison Calculator'!I21*'OOP Calc'!N138</f>
        <v>0</v>
      </c>
      <c r="O140" s="55"/>
      <c r="P140" s="54"/>
      <c r="Q140" s="55"/>
      <c r="R140" s="54"/>
      <c r="S140" s="55"/>
      <c r="T140" s="54">
        <f>ER*'Plan Comparison Calculator'!$I$23-N140</f>
        <v>0</v>
      </c>
      <c r="U140" s="55"/>
      <c r="V140" s="54"/>
      <c r="W140" s="55"/>
      <c r="X140" s="52"/>
      <c r="Y140" s="54">
        <f>'Plan Comparison Calculator'!$J$23*P3_In_ER</f>
        <v>0</v>
      </c>
      <c r="Z140" s="55"/>
      <c r="AA140" s="54"/>
      <c r="AB140" s="55"/>
      <c r="AC140" s="54"/>
      <c r="AD140" s="55"/>
      <c r="AE140" s="54">
        <f>ER*'Plan Comparison Calculator'!$J$23-Y140</f>
        <v>0</v>
      </c>
      <c r="AF140" s="55"/>
      <c r="AG140" s="54"/>
      <c r="AH140" s="55"/>
    </row>
    <row r="141" spans="1:34" ht="15" x14ac:dyDescent="0.25">
      <c r="A141" s="213"/>
      <c r="B141" s="53"/>
      <c r="C141" s="54"/>
      <c r="D141" s="55"/>
      <c r="E141" s="54"/>
      <c r="F141" s="55"/>
      <c r="G141" s="54"/>
      <c r="H141" s="55"/>
      <c r="I141" s="54"/>
      <c r="J141" s="55"/>
      <c r="K141" s="54"/>
      <c r="L141" s="55"/>
      <c r="M141" s="52"/>
      <c r="N141" s="54"/>
      <c r="O141" s="55"/>
      <c r="P141" s="54"/>
      <c r="Q141" s="55"/>
      <c r="R141" s="54"/>
      <c r="S141" s="55"/>
      <c r="T141" s="54"/>
      <c r="U141" s="55"/>
      <c r="V141" s="54"/>
      <c r="W141" s="55"/>
      <c r="X141" s="52"/>
      <c r="Y141" s="54"/>
      <c r="Z141" s="55"/>
      <c r="AA141" s="54"/>
      <c r="AB141" s="55"/>
      <c r="AC141" s="54"/>
      <c r="AD141" s="55"/>
      <c r="AE141" s="54"/>
      <c r="AF141" s="55"/>
      <c r="AG141" s="54"/>
      <c r="AH141" s="55"/>
    </row>
    <row r="142" spans="1:34" ht="15" x14ac:dyDescent="0.25">
      <c r="A142" s="213"/>
      <c r="B142" s="53" t="s">
        <v>31</v>
      </c>
      <c r="C142" s="54"/>
      <c r="D142" s="55"/>
      <c r="E142" s="54"/>
      <c r="F142" s="55"/>
      <c r="G142" s="54">
        <f>Lab*'Plan Comparison Calculator'!$G$25</f>
        <v>0</v>
      </c>
      <c r="H142" s="55"/>
      <c r="I142" s="54"/>
      <c r="J142" s="55"/>
      <c r="K142" s="54"/>
      <c r="L142" s="55"/>
      <c r="M142" s="52"/>
      <c r="N142" s="54"/>
      <c r="O142" s="55"/>
      <c r="P142" s="54"/>
      <c r="Q142" s="55"/>
      <c r="R142" s="54">
        <f>Lab*'Plan Comparison Calculator'!$I$25</f>
        <v>0</v>
      </c>
      <c r="S142" s="55"/>
      <c r="T142" s="54"/>
      <c r="U142" s="55"/>
      <c r="V142" s="54"/>
      <c r="W142" s="55"/>
      <c r="X142" s="52"/>
      <c r="Y142" s="54"/>
      <c r="Z142" s="55"/>
      <c r="AA142" s="54"/>
      <c r="AB142" s="55"/>
      <c r="AC142" s="54">
        <f>Lab*'Plan Comparison Calculator'!$J$25</f>
        <v>0</v>
      </c>
      <c r="AD142" s="55"/>
      <c r="AE142" s="54"/>
      <c r="AF142" s="55"/>
      <c r="AG142" s="54"/>
      <c r="AH142" s="55"/>
    </row>
    <row r="143" spans="1:34" ht="15" x14ac:dyDescent="0.25">
      <c r="A143" s="213"/>
      <c r="B143" s="53"/>
      <c r="C143" s="54"/>
      <c r="D143" s="55"/>
      <c r="E143" s="54"/>
      <c r="F143" s="55"/>
      <c r="G143" s="54"/>
      <c r="H143" s="55"/>
      <c r="I143" s="54"/>
      <c r="J143" s="55"/>
      <c r="K143" s="54"/>
      <c r="L143" s="55"/>
      <c r="M143" s="52"/>
      <c r="N143" s="54"/>
      <c r="O143" s="55"/>
      <c r="P143" s="54"/>
      <c r="Q143" s="55"/>
      <c r="R143" s="54"/>
      <c r="S143" s="55"/>
      <c r="T143" s="54"/>
      <c r="U143" s="55"/>
      <c r="V143" s="54"/>
      <c r="W143" s="55"/>
      <c r="X143" s="52"/>
      <c r="Y143" s="54"/>
      <c r="Z143" s="55"/>
      <c r="AA143" s="54"/>
      <c r="AB143" s="55"/>
      <c r="AC143" s="54"/>
      <c r="AD143" s="55"/>
      <c r="AE143" s="54"/>
      <c r="AF143" s="55"/>
      <c r="AG143" s="54"/>
      <c r="AH143" s="55"/>
    </row>
    <row r="144" spans="1:34" ht="15" x14ac:dyDescent="0.25">
      <c r="A144" s="213"/>
      <c r="B144" s="53" t="s">
        <v>32</v>
      </c>
      <c r="C144" s="54"/>
      <c r="D144" s="55"/>
      <c r="E144" s="54"/>
      <c r="F144" s="55"/>
      <c r="G144" s="54">
        <f>Xray*'Plan Comparison Calculator'!$G$27</f>
        <v>0</v>
      </c>
      <c r="H144" s="55"/>
      <c r="I144" s="54"/>
      <c r="J144" s="55"/>
      <c r="K144" s="54"/>
      <c r="L144" s="55"/>
      <c r="M144" s="52"/>
      <c r="N144" s="54"/>
      <c r="O144" s="55"/>
      <c r="P144" s="54"/>
      <c r="Q144" s="55"/>
      <c r="R144" s="54">
        <f>Xray*'Plan Comparison Calculator'!$I$27</f>
        <v>0</v>
      </c>
      <c r="S144" s="55"/>
      <c r="T144" s="54"/>
      <c r="U144" s="55"/>
      <c r="V144" s="54"/>
      <c r="W144" s="55"/>
      <c r="X144" s="52"/>
      <c r="Y144" s="54"/>
      <c r="Z144" s="55"/>
      <c r="AA144" s="54"/>
      <c r="AB144" s="55"/>
      <c r="AC144" s="54">
        <f>Xray*'Plan Comparison Calculator'!$J$27</f>
        <v>0</v>
      </c>
      <c r="AD144" s="55"/>
      <c r="AE144" s="54"/>
      <c r="AF144" s="55"/>
      <c r="AG144" s="54"/>
      <c r="AH144" s="55"/>
    </row>
    <row r="145" spans="1:34" ht="15" x14ac:dyDescent="0.25">
      <c r="A145" s="213"/>
      <c r="B145" s="53"/>
      <c r="C145" s="54"/>
      <c r="D145" s="55"/>
      <c r="E145" s="54"/>
      <c r="F145" s="55"/>
      <c r="G145" s="54"/>
      <c r="H145" s="55"/>
      <c r="I145" s="54"/>
      <c r="J145" s="55"/>
      <c r="K145" s="54"/>
      <c r="L145" s="55"/>
      <c r="M145" s="52"/>
      <c r="N145" s="54"/>
      <c r="O145" s="55"/>
      <c r="P145" s="54"/>
      <c r="Q145" s="55"/>
      <c r="R145" s="54"/>
      <c r="S145" s="55"/>
      <c r="T145" s="54"/>
      <c r="U145" s="55"/>
      <c r="V145" s="54"/>
      <c r="W145" s="55"/>
      <c r="X145" s="52"/>
      <c r="Y145" s="54"/>
      <c r="Z145" s="55"/>
      <c r="AA145" s="54"/>
      <c r="AB145" s="55"/>
      <c r="AC145" s="54"/>
      <c r="AD145" s="55"/>
      <c r="AE145" s="54"/>
      <c r="AF145" s="55"/>
      <c r="AG145" s="54"/>
      <c r="AH145" s="55"/>
    </row>
    <row r="146" spans="1:34" ht="15" x14ac:dyDescent="0.25">
      <c r="A146" s="213"/>
      <c r="B146" s="53" t="s">
        <v>33</v>
      </c>
      <c r="C146" s="54"/>
      <c r="D146" s="55"/>
      <c r="E146" s="54"/>
      <c r="F146" s="55"/>
      <c r="G146" s="54">
        <f>CatScan*'Plan Comparison Calculator'!$G$29</f>
        <v>0</v>
      </c>
      <c r="H146" s="55"/>
      <c r="I146" s="54"/>
      <c r="J146" s="55"/>
      <c r="K146" s="54"/>
      <c r="L146" s="55"/>
      <c r="M146" s="52"/>
      <c r="N146" s="54"/>
      <c r="O146" s="55"/>
      <c r="P146" s="54"/>
      <c r="Q146" s="55"/>
      <c r="R146" s="54">
        <f>CatScan*'Plan Comparison Calculator'!$I$29</f>
        <v>0</v>
      </c>
      <c r="S146" s="55"/>
      <c r="T146" s="54"/>
      <c r="U146" s="55"/>
      <c r="V146" s="54"/>
      <c r="W146" s="55"/>
      <c r="X146" s="52"/>
      <c r="Y146" s="54"/>
      <c r="Z146" s="55"/>
      <c r="AA146" s="54"/>
      <c r="AB146" s="55"/>
      <c r="AC146" s="54">
        <f>CatScan*'Plan Comparison Calculator'!$J$29</f>
        <v>0</v>
      </c>
      <c r="AD146" s="55"/>
      <c r="AE146" s="54"/>
      <c r="AF146" s="55"/>
      <c r="AG146" s="54"/>
      <c r="AH146" s="55"/>
    </row>
    <row r="147" spans="1:34" ht="15" x14ac:dyDescent="0.25">
      <c r="A147" s="213"/>
      <c r="B147" s="53"/>
      <c r="C147" s="54"/>
      <c r="D147" s="55"/>
      <c r="E147" s="54"/>
      <c r="F147" s="55"/>
      <c r="G147" s="54"/>
      <c r="H147" s="55"/>
      <c r="I147" s="54"/>
      <c r="J147" s="55"/>
      <c r="K147" s="54"/>
      <c r="L147" s="55"/>
      <c r="M147" s="52"/>
      <c r="N147" s="54"/>
      <c r="O147" s="55"/>
      <c r="P147" s="54"/>
      <c r="Q147" s="55"/>
      <c r="R147" s="54"/>
      <c r="S147" s="55"/>
      <c r="T147" s="54"/>
      <c r="U147" s="55"/>
      <c r="V147" s="54"/>
      <c r="W147" s="55"/>
      <c r="X147" s="52"/>
      <c r="Y147" s="54"/>
      <c r="Z147" s="55"/>
      <c r="AA147" s="54"/>
      <c r="AB147" s="55"/>
      <c r="AC147" s="54"/>
      <c r="AD147" s="55"/>
      <c r="AE147" s="54"/>
      <c r="AF147" s="55"/>
      <c r="AG147" s="54"/>
      <c r="AH147" s="55"/>
    </row>
    <row r="148" spans="1:34" ht="15" x14ac:dyDescent="0.25">
      <c r="A148" s="213"/>
      <c r="B148" s="53" t="s">
        <v>34</v>
      </c>
      <c r="C148" s="54">
        <f>'Plan Comparison Calculator'!$G$31*P3_In_OP_Surgery_Copay</f>
        <v>0</v>
      </c>
      <c r="D148" s="55"/>
      <c r="E148" s="54"/>
      <c r="F148" s="55"/>
      <c r="G148" s="54"/>
      <c r="H148" s="55"/>
      <c r="I148" s="54">
        <f>Surgery_Facility*'Plan Comparison Calculator'!$G$31-C148</f>
        <v>0</v>
      </c>
      <c r="J148" s="55"/>
      <c r="K148" s="54">
        <f>Surgery_Physician*'Plan Comparison Calculator'!$G$31</f>
        <v>0</v>
      </c>
      <c r="L148" s="55"/>
      <c r="M148" s="52"/>
      <c r="N148" s="54">
        <f>'Plan Comparison Calculator'!$I$31*P3_In_OP_Surgery_Copay</f>
        <v>0</v>
      </c>
      <c r="O148" s="55"/>
      <c r="P148" s="54"/>
      <c r="Q148" s="55"/>
      <c r="R148" s="54"/>
      <c r="S148" s="55"/>
      <c r="T148" s="54">
        <f>Surgery_Facility*'Plan Comparison Calculator'!$I$31-N148</f>
        <v>0</v>
      </c>
      <c r="U148" s="55"/>
      <c r="V148" s="54">
        <f>Surgery_Physician*'Plan Comparison Calculator'!$I$31</f>
        <v>0</v>
      </c>
      <c r="W148" s="55"/>
      <c r="X148" s="52"/>
      <c r="Y148" s="54">
        <f>'Plan Comparison Calculator'!$J$31*P3_In_OP_Surgery_Copay</f>
        <v>0</v>
      </c>
      <c r="Z148" s="55"/>
      <c r="AA148" s="54"/>
      <c r="AB148" s="55"/>
      <c r="AC148" s="54"/>
      <c r="AD148" s="55"/>
      <c r="AE148" s="54">
        <f>Surgery_Facility*'Plan Comparison Calculator'!$J$31-Y148</f>
        <v>0</v>
      </c>
      <c r="AF148" s="55"/>
      <c r="AG148" s="54">
        <f>Surgery_Physician*'Plan Comparison Calculator'!$J$31</f>
        <v>0</v>
      </c>
      <c r="AH148" s="55"/>
    </row>
    <row r="149" spans="1:34" ht="15" x14ac:dyDescent="0.25">
      <c r="A149" s="213"/>
      <c r="B149" s="53"/>
      <c r="C149" s="54"/>
      <c r="D149" s="55"/>
      <c r="E149" s="54"/>
      <c r="F149" s="55"/>
      <c r="G149" s="54"/>
      <c r="H149" s="55"/>
      <c r="I149" s="54"/>
      <c r="J149" s="55"/>
      <c r="K149" s="54"/>
      <c r="L149" s="55"/>
      <c r="M149" s="52"/>
      <c r="N149" s="54"/>
      <c r="O149" s="55"/>
      <c r="P149" s="54"/>
      <c r="Q149" s="55"/>
      <c r="R149" s="54"/>
      <c r="S149" s="55"/>
      <c r="T149" s="54"/>
      <c r="U149" s="55"/>
      <c r="V149" s="54"/>
      <c r="W149" s="55"/>
      <c r="X149" s="52"/>
      <c r="Y149" s="54"/>
      <c r="Z149" s="55"/>
      <c r="AA149" s="54"/>
      <c r="AB149" s="55"/>
      <c r="AC149" s="54"/>
      <c r="AD149" s="55"/>
      <c r="AE149" s="54"/>
      <c r="AF149" s="55"/>
      <c r="AG149" s="54"/>
      <c r="AH149" s="55"/>
    </row>
    <row r="150" spans="1:34" ht="15" x14ac:dyDescent="0.25">
      <c r="A150" s="213"/>
      <c r="B150" s="53" t="s">
        <v>35</v>
      </c>
      <c r="C150" s="54">
        <f>'Plan Comparison Calculator'!$G$33*P3_In_IP_Hosp_Copay</f>
        <v>0</v>
      </c>
      <c r="D150" s="55"/>
      <c r="E150" s="54"/>
      <c r="F150" s="55"/>
      <c r="G150" s="54">
        <f>IP_XrayLab*'Plan Comparison Calculator'!$G$33</f>
        <v>0</v>
      </c>
      <c r="H150" s="55"/>
      <c r="I150" s="54">
        <f>IP_Facility*'Plan Comparison Calculator'!$G$33-C150</f>
        <v>0</v>
      </c>
      <c r="J150" s="55"/>
      <c r="K150" s="54">
        <f>IP_Physician*'Plan Comparison Calculator'!$G$33</f>
        <v>0</v>
      </c>
      <c r="L150" s="55"/>
      <c r="M150" s="52"/>
      <c r="N150" s="54">
        <f>'Plan Comparison Calculator'!$I$33*P3_In_IP_Hosp_Copay</f>
        <v>0</v>
      </c>
      <c r="O150" s="55"/>
      <c r="P150" s="54"/>
      <c r="Q150" s="55"/>
      <c r="R150" s="54">
        <f>IP_XrayLab*'Plan Comparison Calculator'!$I$33</f>
        <v>0</v>
      </c>
      <c r="S150" s="55"/>
      <c r="T150" s="54">
        <f>IP_Facility*'Plan Comparison Calculator'!$I$33-N150</f>
        <v>0</v>
      </c>
      <c r="U150" s="55"/>
      <c r="V150" s="54">
        <f>IP_Physician*'Plan Comparison Calculator'!$I$33</f>
        <v>0</v>
      </c>
      <c r="W150" s="55"/>
      <c r="X150" s="52"/>
      <c r="Y150" s="54">
        <f>'Plan Comparison Calculator'!$J$33*P3_In_IP_Hosp_Copay</f>
        <v>0</v>
      </c>
      <c r="Z150" s="55"/>
      <c r="AA150" s="54"/>
      <c r="AB150" s="55"/>
      <c r="AC150" s="54">
        <f>IP_XrayLab*'Plan Comparison Calculator'!$J$33</f>
        <v>0</v>
      </c>
      <c r="AD150" s="55"/>
      <c r="AE150" s="54">
        <f>IP_Facility*'Plan Comparison Calculator'!$J$33-Y150</f>
        <v>0</v>
      </c>
      <c r="AF150" s="55"/>
      <c r="AG150" s="54">
        <f>IP_Physician*'Plan Comparison Calculator'!$J$33</f>
        <v>0</v>
      </c>
      <c r="AH150" s="55"/>
    </row>
    <row r="151" spans="1:34" ht="15" x14ac:dyDescent="0.25">
      <c r="A151" s="213"/>
      <c r="B151" s="51"/>
      <c r="C151" s="54"/>
      <c r="D151" s="55"/>
      <c r="E151" s="54"/>
      <c r="F151" s="55"/>
      <c r="G151" s="54"/>
      <c r="H151" s="55"/>
      <c r="I151" s="54"/>
      <c r="J151" s="55"/>
      <c r="K151" s="54"/>
      <c r="L151" s="55"/>
      <c r="M151" s="52"/>
      <c r="N151" s="54"/>
      <c r="O151" s="55"/>
      <c r="P151" s="54"/>
      <c r="Q151" s="55"/>
      <c r="R151" s="54"/>
      <c r="S151" s="55"/>
      <c r="T151" s="54"/>
      <c r="U151" s="55"/>
      <c r="V151" s="54"/>
      <c r="W151" s="55"/>
      <c r="X151" s="52"/>
      <c r="Y151" s="54"/>
      <c r="Z151" s="55"/>
      <c r="AA151" s="54"/>
      <c r="AB151" s="55"/>
      <c r="AC151" s="54"/>
      <c r="AD151" s="55"/>
      <c r="AE151" s="54"/>
      <c r="AF151" s="55"/>
      <c r="AG151" s="54"/>
      <c r="AH151" s="55"/>
    </row>
    <row r="152" spans="1:34" ht="15" x14ac:dyDescent="0.25">
      <c r="A152" s="213"/>
      <c r="B152" s="51"/>
      <c r="C152" s="54"/>
      <c r="D152" s="55"/>
      <c r="E152" s="54"/>
      <c r="F152" s="55"/>
      <c r="G152" s="54"/>
      <c r="H152" s="55"/>
      <c r="I152" s="54"/>
      <c r="J152" s="55"/>
      <c r="K152" s="54"/>
      <c r="L152" s="55"/>
      <c r="M152" s="52"/>
      <c r="N152" s="54"/>
      <c r="O152" s="55"/>
      <c r="P152" s="54"/>
      <c r="Q152" s="55"/>
      <c r="R152" s="54"/>
      <c r="S152" s="55"/>
      <c r="T152" s="54"/>
      <c r="U152" s="55"/>
      <c r="V152" s="54"/>
      <c r="W152" s="55"/>
      <c r="X152" s="52"/>
      <c r="Y152" s="54"/>
      <c r="Z152" s="55"/>
      <c r="AA152" s="54"/>
      <c r="AB152" s="55"/>
      <c r="AC152" s="54"/>
      <c r="AD152" s="55"/>
      <c r="AE152" s="54"/>
      <c r="AF152" s="55"/>
      <c r="AG152" s="54"/>
      <c r="AH152" s="55"/>
    </row>
    <row r="153" spans="1:34" ht="15" x14ac:dyDescent="0.25">
      <c r="A153" s="213"/>
      <c r="B153" s="51"/>
      <c r="C153" s="54"/>
      <c r="D153" s="55"/>
      <c r="E153" s="54"/>
      <c r="F153" s="55"/>
      <c r="G153" s="54"/>
      <c r="H153" s="55"/>
      <c r="I153" s="54"/>
      <c r="J153" s="55"/>
      <c r="K153" s="54"/>
      <c r="L153" s="55"/>
      <c r="M153" s="52"/>
      <c r="N153" s="54"/>
      <c r="O153" s="55"/>
      <c r="P153" s="54"/>
      <c r="Q153" s="55"/>
      <c r="R153" s="54"/>
      <c r="S153" s="55"/>
      <c r="T153" s="54"/>
      <c r="U153" s="55"/>
      <c r="V153" s="54"/>
      <c r="W153" s="55"/>
      <c r="X153" s="52"/>
      <c r="Y153" s="54"/>
      <c r="Z153" s="55"/>
      <c r="AA153" s="54"/>
      <c r="AB153" s="55"/>
      <c r="AC153" s="54"/>
      <c r="AD153" s="55"/>
      <c r="AE153" s="54"/>
      <c r="AF153" s="55"/>
      <c r="AG153" s="54"/>
      <c r="AH153" s="55"/>
    </row>
    <row r="154" spans="1:34" ht="15" x14ac:dyDescent="0.25">
      <c r="A154" s="213"/>
      <c r="B154" s="51"/>
      <c r="C154" s="54">
        <f>SUM(C134:C150,C128)</f>
        <v>0</v>
      </c>
      <c r="D154" s="55"/>
      <c r="E154" s="54">
        <f>SUM(E136:E150,E128)</f>
        <v>0</v>
      </c>
      <c r="F154" s="55"/>
      <c r="G154" s="54">
        <f>MAX(SUM(G128:G146)-P3_In_LabMax,0)+SUM(G149:G150)</f>
        <v>0</v>
      </c>
      <c r="H154" s="55"/>
      <c r="I154" s="54">
        <f>SUM(I136:I150,I128)</f>
        <v>0</v>
      </c>
      <c r="J154" s="55"/>
      <c r="K154" s="54">
        <f>SUM(K136:K150,K128)</f>
        <v>0</v>
      </c>
      <c r="L154" s="55"/>
      <c r="M154" s="52"/>
      <c r="N154" s="54">
        <f>SUM(N134:N150,N128)</f>
        <v>0</v>
      </c>
      <c r="O154" s="55"/>
      <c r="P154" s="54">
        <f>SUM(P136:P150,P128)</f>
        <v>0</v>
      </c>
      <c r="Q154" s="55"/>
      <c r="R154" s="54">
        <f>MAX(SUM(R128:R146)-P3_In_LabMax,0)+SUM(R149:R150)</f>
        <v>0</v>
      </c>
      <c r="S154" s="55"/>
      <c r="T154" s="54">
        <f>SUM(T136:T150,T128)</f>
        <v>0</v>
      </c>
      <c r="U154" s="55"/>
      <c r="V154" s="54">
        <f>SUM(V136:V150,V128)</f>
        <v>0</v>
      </c>
      <c r="W154" s="55"/>
      <c r="X154" s="52"/>
      <c r="Y154" s="54">
        <f>SUM(Y134:Y150,Y128)</f>
        <v>0</v>
      </c>
      <c r="Z154" s="55"/>
      <c r="AA154" s="54">
        <f>SUM(AA136:AA150,AA128)</f>
        <v>0</v>
      </c>
      <c r="AB154" s="55"/>
      <c r="AC154" s="54">
        <f>MAX(SUM(AC128:AC146)-P3_In_LabMax,0)+SUM(AC149:AC150)</f>
        <v>0</v>
      </c>
      <c r="AD154" s="55"/>
      <c r="AE154" s="54">
        <f>SUM(AE136:AE150,AE128)</f>
        <v>0</v>
      </c>
      <c r="AF154" s="55"/>
      <c r="AG154" s="54">
        <f>SUM(AG136:AG150,AG128)</f>
        <v>0</v>
      </c>
      <c r="AH154" s="55"/>
    </row>
    <row r="155" spans="1:34" ht="14.25" x14ac:dyDescent="0.2">
      <c r="A155" s="213"/>
      <c r="B155" s="51"/>
      <c r="C155" s="19"/>
      <c r="D155" s="19"/>
      <c r="E155" s="19"/>
      <c r="F155" s="19"/>
      <c r="G155" s="19"/>
      <c r="H155" s="19"/>
      <c r="I155" s="19"/>
      <c r="J155" s="19"/>
      <c r="K155" s="19"/>
      <c r="L155" s="19"/>
      <c r="M155" s="52"/>
      <c r="N155" s="19"/>
      <c r="O155" s="19"/>
      <c r="P155" s="19"/>
      <c r="Q155" s="19"/>
      <c r="R155" s="19"/>
      <c r="S155" s="19"/>
      <c r="T155" s="19"/>
      <c r="U155" s="19"/>
      <c r="V155" s="19"/>
      <c r="W155" s="19"/>
      <c r="X155" s="52"/>
      <c r="Y155" s="19"/>
      <c r="Z155" s="19"/>
      <c r="AA155" s="19"/>
      <c r="AB155" s="19"/>
      <c r="AC155" s="19"/>
    </row>
    <row r="156" spans="1:34" ht="15" x14ac:dyDescent="0.25">
      <c r="A156" s="213"/>
      <c r="B156" s="51"/>
      <c r="C156" s="56" t="s">
        <v>36</v>
      </c>
      <c r="D156" s="19"/>
      <c r="E156" s="19"/>
      <c r="F156" s="19"/>
      <c r="G156" s="19"/>
      <c r="H156" s="19"/>
      <c r="I156" s="19"/>
      <c r="J156" s="19"/>
      <c r="K156" s="19"/>
      <c r="L156" s="19"/>
      <c r="M156" s="52"/>
      <c r="N156" s="19"/>
      <c r="O156" s="19"/>
      <c r="P156" s="19"/>
      <c r="Q156" s="19"/>
      <c r="R156" s="19"/>
      <c r="S156" s="19"/>
      <c r="T156" s="19"/>
      <c r="U156" s="19"/>
      <c r="V156" s="19"/>
      <c r="W156" s="19"/>
      <c r="X156" s="52"/>
      <c r="Y156" s="19"/>
      <c r="Z156" s="19"/>
      <c r="AA156" s="19"/>
      <c r="AB156" s="19"/>
      <c r="AC156" s="19"/>
    </row>
    <row r="157" spans="1:34" ht="14.25" x14ac:dyDescent="0.2">
      <c r="A157" s="213"/>
      <c r="B157" s="51"/>
      <c r="C157" s="57">
        <f>P3_In_Rx1*'Plan Comparison Calculator'!$F$39+P3_Out_Rx1*'Plan Comparison Calculator'!$K$39</f>
        <v>0</v>
      </c>
      <c r="D157" s="57"/>
      <c r="E157" s="19"/>
      <c r="F157" s="19"/>
      <c r="G157" s="19"/>
      <c r="H157" s="19"/>
      <c r="I157" s="19"/>
      <c r="J157" s="19"/>
      <c r="K157" s="19"/>
      <c r="L157" s="19"/>
      <c r="M157" s="52"/>
      <c r="N157" s="57"/>
      <c r="O157" s="57"/>
      <c r="P157" s="19"/>
      <c r="Q157" s="19"/>
      <c r="R157" s="19"/>
      <c r="S157" s="19"/>
      <c r="T157" s="19"/>
      <c r="U157" s="19"/>
      <c r="V157" s="19"/>
      <c r="W157" s="19"/>
      <c r="X157" s="52"/>
      <c r="Y157" s="57"/>
      <c r="Z157" s="19"/>
      <c r="AA157" s="19"/>
      <c r="AB157" s="19"/>
      <c r="AC157" s="19"/>
    </row>
    <row r="158" spans="1:34" ht="14.25" x14ac:dyDescent="0.2">
      <c r="A158" s="213"/>
      <c r="B158" s="51"/>
      <c r="C158" s="57">
        <f>P3_In_Rx2*'Plan Comparison Calculator'!$F$40+P3_Out_Rx2*'Plan Comparison Calculator'!$K$40</f>
        <v>0</v>
      </c>
      <c r="D158" s="57"/>
      <c r="E158" s="19"/>
      <c r="F158" s="19"/>
      <c r="G158" s="19"/>
      <c r="H158" s="19"/>
      <c r="I158" s="19"/>
      <c r="J158" s="19"/>
      <c r="K158" s="19"/>
      <c r="L158" s="19"/>
      <c r="M158" s="52"/>
      <c r="N158" s="57"/>
      <c r="O158" s="57"/>
      <c r="P158" s="19"/>
      <c r="Q158" s="19"/>
      <c r="R158" s="19"/>
      <c r="S158" s="19"/>
      <c r="T158" s="19"/>
      <c r="U158" s="19"/>
      <c r="V158" s="19"/>
      <c r="W158" s="19"/>
      <c r="X158" s="52"/>
      <c r="Y158" s="57"/>
      <c r="Z158" s="19"/>
      <c r="AA158" s="19"/>
      <c r="AB158" s="19"/>
      <c r="AC158" s="19"/>
    </row>
    <row r="159" spans="1:34" ht="14.25" x14ac:dyDescent="0.2">
      <c r="A159" s="213"/>
      <c r="B159" s="51"/>
      <c r="C159" s="57">
        <f>P3_In_Rx3*'Plan Comparison Calculator'!$F$41+P3_Out_Rx3*'Plan Comparison Calculator'!$K$41</f>
        <v>0</v>
      </c>
      <c r="D159" s="57"/>
      <c r="E159" s="19"/>
      <c r="F159" s="19"/>
      <c r="G159" s="19"/>
      <c r="H159" s="19"/>
      <c r="I159" s="19"/>
      <c r="J159" s="19"/>
      <c r="K159" s="19"/>
      <c r="L159" s="19"/>
      <c r="M159" s="52"/>
      <c r="N159" s="57"/>
      <c r="O159" s="57"/>
      <c r="P159" s="19"/>
      <c r="Q159" s="19"/>
      <c r="R159" s="19"/>
      <c r="S159" s="19"/>
      <c r="T159" s="19"/>
      <c r="U159" s="19"/>
      <c r="V159" s="19"/>
      <c r="W159" s="19"/>
      <c r="X159" s="52"/>
      <c r="Y159" s="57"/>
      <c r="Z159" s="19"/>
      <c r="AA159" s="19"/>
      <c r="AB159" s="19"/>
      <c r="AC159" s="19"/>
    </row>
    <row r="160" spans="1:34" ht="14.25" x14ac:dyDescent="0.2">
      <c r="A160" s="213"/>
      <c r="B160" s="51"/>
      <c r="C160" s="19"/>
      <c r="D160" s="19"/>
      <c r="E160" s="19"/>
      <c r="F160" s="19"/>
      <c r="G160" s="19"/>
      <c r="H160" s="19"/>
      <c r="I160" s="19"/>
      <c r="J160" s="19"/>
      <c r="K160" s="19"/>
      <c r="L160" s="19"/>
      <c r="M160" s="52"/>
      <c r="N160" s="16"/>
      <c r="O160" s="16"/>
      <c r="P160" s="16"/>
      <c r="Q160" s="16"/>
      <c r="R160" s="16"/>
      <c r="S160" s="16"/>
      <c r="T160" s="16"/>
      <c r="U160" s="16"/>
      <c r="V160" s="16"/>
      <c r="W160" s="16"/>
      <c r="X160" s="52"/>
      <c r="Y160" s="16"/>
      <c r="Z160" s="16"/>
      <c r="AA160" s="16"/>
      <c r="AB160" s="16"/>
      <c r="AC160" s="16"/>
    </row>
    <row r="161" spans="1:29" ht="15.75" x14ac:dyDescent="0.25">
      <c r="A161" s="213"/>
      <c r="B161" s="48"/>
      <c r="C161" s="58">
        <f>SUM(C157:C159)</f>
        <v>0</v>
      </c>
      <c r="D161" s="59"/>
      <c r="E161" s="60" t="s">
        <v>37</v>
      </c>
      <c r="F161" s="60"/>
      <c r="G161" s="61"/>
      <c r="H161" s="61"/>
      <c r="I161" s="61"/>
      <c r="J161" s="61"/>
      <c r="K161" s="61"/>
      <c r="L161" s="61"/>
      <c r="M161" s="50"/>
      <c r="N161" s="10"/>
      <c r="O161" s="10"/>
      <c r="P161" s="10"/>
      <c r="Q161" s="10"/>
      <c r="R161" s="10"/>
      <c r="S161" s="10"/>
      <c r="T161" s="10"/>
      <c r="U161" s="10"/>
      <c r="V161" s="10"/>
      <c r="W161" s="10"/>
      <c r="X161" s="50"/>
      <c r="Y161" s="10"/>
      <c r="Z161" s="10"/>
      <c r="AA161" s="10"/>
      <c r="AB161" s="10"/>
      <c r="AC161" s="10"/>
    </row>
    <row r="162" spans="1:29" ht="14.25" x14ac:dyDescent="0.2">
      <c r="A162" s="213"/>
      <c r="B162" s="51"/>
      <c r="C162" s="19"/>
      <c r="D162" s="19"/>
      <c r="E162" s="19"/>
      <c r="F162" s="19"/>
      <c r="G162" s="19"/>
      <c r="H162" s="19"/>
      <c r="I162" s="19"/>
      <c r="J162" s="19"/>
      <c r="K162" s="19"/>
      <c r="L162" s="19"/>
      <c r="M162" s="52"/>
      <c r="N162" s="16"/>
      <c r="O162" s="16"/>
      <c r="P162" s="16"/>
      <c r="Q162" s="16"/>
      <c r="R162" s="16"/>
      <c r="S162" s="16"/>
      <c r="T162" s="16"/>
      <c r="U162" s="16"/>
      <c r="V162" s="16"/>
      <c r="W162" s="16"/>
      <c r="X162" s="52"/>
      <c r="Y162" s="16"/>
      <c r="Z162" s="16"/>
      <c r="AA162" s="16"/>
      <c r="AB162" s="16"/>
      <c r="AC162" s="16"/>
    </row>
    <row r="163" spans="1:29" ht="14.25" x14ac:dyDescent="0.2">
      <c r="A163" s="213"/>
      <c r="B163" s="51"/>
      <c r="C163" s="19"/>
      <c r="D163" s="19"/>
      <c r="E163" s="19"/>
      <c r="F163" s="19"/>
      <c r="G163" s="19"/>
      <c r="H163" s="19"/>
      <c r="I163" s="19"/>
      <c r="J163" s="19"/>
      <c r="K163" s="19"/>
      <c r="L163" s="19"/>
      <c r="M163" s="52"/>
      <c r="N163" s="16"/>
      <c r="O163" s="16"/>
      <c r="P163" s="16"/>
      <c r="Q163" s="16"/>
      <c r="R163" s="16"/>
      <c r="S163" s="16"/>
      <c r="T163" s="16"/>
      <c r="U163" s="16"/>
      <c r="V163" s="16"/>
      <c r="W163" s="16"/>
      <c r="X163" s="52"/>
      <c r="Y163" s="16"/>
      <c r="Z163" s="16"/>
      <c r="AA163" s="16"/>
      <c r="AB163" s="16"/>
      <c r="AC163" s="16"/>
    </row>
    <row r="164" spans="1:29" ht="15.75" x14ac:dyDescent="0.25">
      <c r="A164" s="76"/>
      <c r="B164" s="62"/>
      <c r="C164" s="13"/>
      <c r="D164" s="13"/>
      <c r="E164" s="13"/>
      <c r="F164" s="13"/>
      <c r="G164" s="13"/>
      <c r="H164" s="13"/>
      <c r="I164" s="13"/>
      <c r="J164" s="13"/>
      <c r="K164" s="13"/>
      <c r="L164" s="13"/>
      <c r="M164" s="63"/>
      <c r="N164" s="12"/>
      <c r="O164" s="12"/>
      <c r="P164" s="12"/>
      <c r="Q164" s="12"/>
      <c r="R164" s="12"/>
      <c r="S164" s="12"/>
      <c r="T164" s="12"/>
      <c r="U164" s="12"/>
      <c r="V164" s="12"/>
      <c r="W164" s="12"/>
      <c r="X164" s="63"/>
      <c r="Y164" s="12"/>
      <c r="Z164" s="12"/>
      <c r="AA164" s="12"/>
      <c r="AB164" s="12"/>
      <c r="AC164" s="12"/>
    </row>
    <row r="165" spans="1:29" ht="15" x14ac:dyDescent="0.25">
      <c r="A165" s="76"/>
      <c r="B165" s="64"/>
      <c r="C165" s="65">
        <f>SUM(C154:D154)</f>
        <v>0</v>
      </c>
      <c r="D165" s="56"/>
      <c r="E165" s="60" t="s">
        <v>38</v>
      </c>
      <c r="F165" s="60"/>
      <c r="G165" s="56"/>
      <c r="H165" s="56"/>
      <c r="I165" s="56"/>
      <c r="J165" s="56"/>
      <c r="K165" s="56"/>
      <c r="L165" s="56"/>
      <c r="M165" s="66"/>
      <c r="N165" s="65">
        <f>SUM(N154:O154)*T$2</f>
        <v>0</v>
      </c>
      <c r="O165" s="56"/>
      <c r="P165" s="60" t="s">
        <v>38</v>
      </c>
      <c r="Q165" s="60"/>
      <c r="R165" s="32"/>
      <c r="S165" s="32"/>
      <c r="T165" s="32"/>
      <c r="U165" s="32"/>
      <c r="V165" s="32"/>
      <c r="W165" s="32"/>
      <c r="X165" s="66"/>
      <c r="Y165" s="65">
        <f>SUM(Y154:Z154)*AE$2</f>
        <v>0</v>
      </c>
      <c r="Z165" s="56"/>
      <c r="AA165" s="60" t="s">
        <v>38</v>
      </c>
      <c r="AB165" s="32"/>
      <c r="AC165" s="32"/>
    </row>
    <row r="166" spans="1:29" ht="15" x14ac:dyDescent="0.25">
      <c r="A166" s="76"/>
      <c r="B166" s="64"/>
      <c r="C166" s="54">
        <f>E154+G154+I154+K154</f>
        <v>0</v>
      </c>
      <c r="D166" s="56"/>
      <c r="E166" s="67" t="s">
        <v>39</v>
      </c>
      <c r="F166" s="60"/>
      <c r="G166" s="56"/>
      <c r="H166" s="56"/>
      <c r="I166" s="56"/>
      <c r="J166" s="56"/>
      <c r="K166" s="56"/>
      <c r="L166" s="56"/>
      <c r="M166" s="66"/>
      <c r="N166" s="54">
        <f>(P154+R154+T154+V154)*T$2</f>
        <v>0</v>
      </c>
      <c r="O166" s="56"/>
      <c r="P166" s="67" t="s">
        <v>39</v>
      </c>
      <c r="Q166" s="60"/>
      <c r="R166" s="32"/>
      <c r="S166" s="32"/>
      <c r="T166" s="32"/>
      <c r="U166" s="32"/>
      <c r="V166" s="32"/>
      <c r="W166" s="32"/>
      <c r="X166" s="66"/>
      <c r="Y166" s="54">
        <f>(AA154+AC154+AE154+AG154)*AE$2</f>
        <v>0</v>
      </c>
      <c r="Z166" s="56"/>
      <c r="AA166" s="67" t="s">
        <v>39</v>
      </c>
      <c r="AB166" s="32"/>
      <c r="AC166" s="32"/>
    </row>
    <row r="167" spans="1:29" ht="15" x14ac:dyDescent="0.25">
      <c r="A167" s="76"/>
      <c r="B167" s="64"/>
      <c r="C167" s="55"/>
      <c r="E167" s="68"/>
      <c r="F167" s="60"/>
      <c r="G167" s="56"/>
      <c r="H167" s="56"/>
      <c r="I167" s="56"/>
      <c r="J167" s="56"/>
      <c r="K167" s="56"/>
      <c r="L167" s="56"/>
      <c r="M167" s="66"/>
      <c r="N167" s="55"/>
      <c r="P167" s="68"/>
      <c r="Q167" s="60"/>
      <c r="R167" s="32"/>
      <c r="S167" s="32"/>
      <c r="T167" s="32"/>
      <c r="U167" s="32"/>
      <c r="V167" s="32"/>
      <c r="W167" s="32"/>
      <c r="X167" s="66"/>
      <c r="Y167" s="55"/>
      <c r="AA167" s="68"/>
      <c r="AB167" s="32"/>
      <c r="AC167" s="32"/>
    </row>
    <row r="168" spans="1:29" ht="15" x14ac:dyDescent="0.25">
      <c r="A168" s="76"/>
      <c r="B168" s="64"/>
      <c r="C168" s="54">
        <f>E154+G154+I154+K154</f>
        <v>0</v>
      </c>
      <c r="D168" s="56"/>
      <c r="E168" s="67" t="s">
        <v>40</v>
      </c>
      <c r="F168" s="60"/>
      <c r="G168" s="56"/>
      <c r="H168" s="56"/>
      <c r="I168" s="56"/>
      <c r="J168" s="56"/>
      <c r="K168" s="56"/>
      <c r="L168" s="56"/>
      <c r="M168" s="66"/>
      <c r="N168" s="54">
        <f>(P154+R154+T154+V154)*T$2</f>
        <v>0</v>
      </c>
      <c r="O168" s="56"/>
      <c r="P168" s="67" t="s">
        <v>40</v>
      </c>
      <c r="Q168" s="60"/>
      <c r="R168" s="32"/>
      <c r="S168" s="32"/>
      <c r="T168" s="32"/>
      <c r="U168" s="32"/>
      <c r="V168" s="32"/>
      <c r="W168" s="32"/>
      <c r="X168" s="66"/>
      <c r="Y168" s="54">
        <f>(AA154+AC154+AE154+AG154)*AE$2</f>
        <v>0</v>
      </c>
      <c r="Z168" s="56"/>
      <c r="AA168" s="67" t="s">
        <v>40</v>
      </c>
      <c r="AB168" s="32"/>
      <c r="AC168" s="32"/>
    </row>
    <row r="169" spans="1:29" ht="15" x14ac:dyDescent="0.25">
      <c r="A169" s="76"/>
      <c r="B169" s="64"/>
      <c r="C169" s="55"/>
      <c r="D169" s="56"/>
      <c r="E169" s="68"/>
      <c r="F169" s="32"/>
      <c r="G169" s="56"/>
      <c r="H169" s="56"/>
      <c r="I169" s="56"/>
      <c r="J169" s="56"/>
      <c r="K169" s="56"/>
      <c r="L169" s="56"/>
      <c r="M169" s="66"/>
      <c r="N169" s="55"/>
      <c r="O169" s="56"/>
      <c r="P169" s="68"/>
      <c r="Q169" s="32"/>
      <c r="R169" s="32"/>
      <c r="S169" s="32"/>
      <c r="T169" s="32"/>
      <c r="U169" s="32"/>
      <c r="V169" s="32"/>
      <c r="W169" s="32"/>
      <c r="X169" s="66"/>
      <c r="Y169" s="55"/>
      <c r="Z169" s="56"/>
      <c r="AA169" s="68"/>
      <c r="AB169" s="32"/>
      <c r="AC169" s="32"/>
    </row>
    <row r="170" spans="1:29" ht="15" x14ac:dyDescent="0.25">
      <c r="A170" s="76"/>
      <c r="B170" s="64"/>
      <c r="F170" s="60"/>
      <c r="G170" s="56"/>
      <c r="H170" s="56"/>
      <c r="I170" s="56"/>
      <c r="J170" s="56"/>
      <c r="K170" s="56"/>
      <c r="L170" s="56"/>
      <c r="M170" s="66"/>
      <c r="Q170" s="60"/>
      <c r="R170" s="32"/>
      <c r="S170" s="32"/>
      <c r="T170" s="32"/>
      <c r="U170" s="32"/>
      <c r="V170" s="32"/>
      <c r="W170" s="32"/>
      <c r="X170" s="66"/>
      <c r="AB170" s="32"/>
      <c r="AC170" s="32"/>
    </row>
    <row r="171" spans="1:29" ht="15" x14ac:dyDescent="0.25">
      <c r="A171" s="76"/>
      <c r="B171" s="64"/>
      <c r="C171" s="54">
        <f>MIN(C166,P3_In_Deduct)</f>
        <v>0</v>
      </c>
      <c r="D171" s="56"/>
      <c r="E171" s="69" t="s">
        <v>41</v>
      </c>
      <c r="G171" s="19"/>
      <c r="H171" s="19"/>
      <c r="I171" s="19"/>
      <c r="J171" s="19"/>
      <c r="K171" s="19"/>
      <c r="L171" s="19"/>
      <c r="M171" s="16"/>
      <c r="N171" s="54">
        <f>MIN(N166,P3_In_Deduct)</f>
        <v>0</v>
      </c>
      <c r="O171" s="56"/>
      <c r="P171" s="69" t="s">
        <v>41</v>
      </c>
      <c r="Q171" s="16"/>
      <c r="R171" s="16"/>
      <c r="S171" s="16"/>
      <c r="T171" s="16"/>
      <c r="U171" s="16"/>
      <c r="V171" s="16"/>
      <c r="W171" s="16"/>
      <c r="X171" s="16"/>
      <c r="Y171" s="54">
        <f>MIN(Y166,P3_In_Deduct)</f>
        <v>0</v>
      </c>
      <c r="Z171" s="56"/>
      <c r="AA171" s="69" t="s">
        <v>41</v>
      </c>
      <c r="AB171" s="16"/>
      <c r="AC171" s="16"/>
    </row>
    <row r="172" spans="1:29" ht="15" x14ac:dyDescent="0.25">
      <c r="A172" s="76"/>
      <c r="B172" s="64"/>
      <c r="C172" s="55"/>
      <c r="E172" s="70"/>
      <c r="G172" s="19"/>
      <c r="H172" s="19"/>
      <c r="I172" s="19"/>
      <c r="J172" s="19"/>
      <c r="K172" s="19"/>
      <c r="L172" s="19"/>
      <c r="M172" s="16"/>
      <c r="N172" s="55"/>
      <c r="P172" s="70"/>
      <c r="Q172" s="16"/>
      <c r="R172" s="16"/>
      <c r="S172" s="16"/>
      <c r="W172" s="56"/>
      <c r="X172" s="16"/>
      <c r="Y172" s="55"/>
      <c r="AA172" s="70"/>
      <c r="AB172" s="16"/>
      <c r="AC172" s="16"/>
    </row>
    <row r="173" spans="1:29" ht="15" x14ac:dyDescent="0.25">
      <c r="A173" s="76"/>
      <c r="B173" s="64"/>
      <c r="C173" s="55"/>
      <c r="E173" s="70"/>
      <c r="G173" s="19"/>
      <c r="H173" s="19"/>
      <c r="I173" s="19"/>
      <c r="J173" s="19"/>
      <c r="K173" s="19"/>
      <c r="L173" s="19"/>
      <c r="M173" s="16"/>
      <c r="N173" s="55"/>
      <c r="P173" s="70"/>
      <c r="Q173" s="16"/>
      <c r="R173" s="16"/>
      <c r="S173" s="16"/>
      <c r="W173" s="56"/>
      <c r="X173" s="16"/>
      <c r="Y173" s="55"/>
      <c r="AA173" s="70"/>
      <c r="AB173" s="16"/>
      <c r="AC173" s="16"/>
    </row>
    <row r="174" spans="1:29" ht="15" x14ac:dyDescent="0.25">
      <c r="A174" s="76"/>
      <c r="B174" s="64"/>
      <c r="C174" s="54">
        <f>MIN((C168-C171)*(1-P3_In_Coins),P3_In_OOPMax)</f>
        <v>0</v>
      </c>
      <c r="D174" s="56"/>
      <c r="E174" s="67" t="s">
        <v>42</v>
      </c>
      <c r="F174" s="19"/>
      <c r="G174" s="19"/>
      <c r="H174" s="19"/>
      <c r="I174" s="19"/>
      <c r="J174" s="19"/>
      <c r="K174" s="19"/>
      <c r="L174" s="19"/>
      <c r="M174" s="16"/>
      <c r="N174" s="54">
        <f>MIN((N168-N171)*(1-P3_In_Coins),P3_In_OOPMax)</f>
        <v>0</v>
      </c>
      <c r="O174" s="56"/>
      <c r="P174" s="67" t="s">
        <v>42</v>
      </c>
      <c r="Q174" s="16"/>
      <c r="R174" s="16"/>
      <c r="S174" s="16"/>
      <c r="W174" s="56"/>
      <c r="X174" s="16"/>
      <c r="Y174" s="54">
        <f>IF(Y168&gt;=Y171,MIN((Y168-Y171)*(1-P3_In_Coins),P3_In_OOPMax),0)</f>
        <v>0</v>
      </c>
      <c r="Z174" s="56"/>
      <c r="AA174" s="67" t="s">
        <v>42</v>
      </c>
      <c r="AB174" s="16"/>
      <c r="AC174" s="16"/>
    </row>
    <row r="175" spans="1:29" ht="15.75" x14ac:dyDescent="0.25">
      <c r="A175" s="76"/>
      <c r="B175" s="64"/>
      <c r="C175" s="55"/>
      <c r="D175" s="13"/>
      <c r="E175" s="68"/>
      <c r="F175" s="13"/>
      <c r="G175" s="13"/>
      <c r="H175" s="13"/>
      <c r="I175" s="13"/>
      <c r="J175" s="13"/>
      <c r="K175" s="13"/>
      <c r="L175" s="13"/>
      <c r="M175" s="12"/>
      <c r="N175" s="55"/>
      <c r="O175" s="13"/>
      <c r="P175" s="68"/>
      <c r="Q175" s="12"/>
      <c r="R175" s="12"/>
      <c r="S175" s="12"/>
      <c r="T175" s="71"/>
      <c r="U175" s="71"/>
      <c r="V175" s="12"/>
      <c r="W175" s="12"/>
      <c r="X175" s="12"/>
      <c r="Y175" s="55"/>
      <c r="Z175" s="13"/>
      <c r="AA175" s="68"/>
      <c r="AB175" s="12"/>
      <c r="AC175" s="12"/>
    </row>
    <row r="176" spans="1:29" ht="15" x14ac:dyDescent="0.25">
      <c r="A176" s="76"/>
      <c r="B176" s="64"/>
      <c r="C176" s="19"/>
      <c r="D176" s="19"/>
      <c r="E176" s="19"/>
      <c r="F176" s="19"/>
      <c r="G176" s="19"/>
      <c r="H176" s="19"/>
      <c r="I176" s="19"/>
      <c r="J176" s="19"/>
      <c r="K176" s="19"/>
      <c r="L176" s="19"/>
      <c r="M176" s="16"/>
      <c r="N176" s="16"/>
      <c r="O176" s="16"/>
      <c r="P176" s="16"/>
      <c r="Q176" s="16"/>
      <c r="R176" s="16"/>
      <c r="S176" s="16"/>
      <c r="T176" s="72"/>
      <c r="U176" s="72"/>
      <c r="V176" s="16"/>
      <c r="W176" s="16"/>
      <c r="X176" s="16"/>
      <c r="Y176" s="16"/>
      <c r="Z176" s="16"/>
      <c r="AA176" s="16"/>
      <c r="AB176" s="16"/>
      <c r="AC176" s="16"/>
    </row>
    <row r="177" spans="1:34" ht="15" x14ac:dyDescent="0.25">
      <c r="A177" s="76"/>
      <c r="B177" s="64"/>
      <c r="C177" s="132"/>
      <c r="D177" s="126" t="s">
        <v>90</v>
      </c>
      <c r="E177" s="127" t="s">
        <v>91</v>
      </c>
      <c r="F177" s="127" t="s">
        <v>92</v>
      </c>
      <c r="G177" s="132"/>
      <c r="H177" s="132"/>
      <c r="I177" s="132"/>
      <c r="J177" s="132"/>
      <c r="K177" s="132"/>
      <c r="L177" s="132"/>
      <c r="M177" s="16"/>
      <c r="N177" s="16"/>
      <c r="O177" s="16"/>
      <c r="P177" s="16"/>
      <c r="Q177" s="16"/>
      <c r="R177" s="16"/>
      <c r="S177" s="16"/>
      <c r="T177" s="16"/>
      <c r="U177" s="16"/>
      <c r="V177" s="16"/>
      <c r="W177" s="16"/>
      <c r="X177" s="16"/>
      <c r="Y177" s="16"/>
      <c r="Z177" s="16"/>
      <c r="AA177" s="16"/>
      <c r="AB177" s="16"/>
      <c r="AC177" s="16"/>
    </row>
    <row r="178" spans="1:34" ht="15.75" x14ac:dyDescent="0.25">
      <c r="A178" s="76"/>
      <c r="B178" s="64"/>
      <c r="C178" s="126" t="s">
        <v>1</v>
      </c>
      <c r="D178" s="133">
        <f>IF(F178&lt;E178,F178,E178)</f>
        <v>0</v>
      </c>
      <c r="E178" s="135">
        <f>'Plan Defn'!H9</f>
        <v>3000</v>
      </c>
      <c r="F178" s="136">
        <f>SUM(L$178:L$181)</f>
        <v>0</v>
      </c>
      <c r="G178" s="127" t="s">
        <v>93</v>
      </c>
      <c r="H178" s="46"/>
      <c r="I178" s="46"/>
      <c r="J178" s="46"/>
      <c r="K178" s="126" t="s">
        <v>94</v>
      </c>
      <c r="L178" s="134">
        <f>V178</f>
        <v>0</v>
      </c>
      <c r="M178" s="12"/>
      <c r="N178" s="12"/>
      <c r="O178" s="12"/>
      <c r="P178" s="12"/>
      <c r="Q178" s="12"/>
      <c r="R178" s="12"/>
      <c r="S178" s="12"/>
      <c r="T178" s="73" t="s">
        <v>43</v>
      </c>
      <c r="U178" s="73"/>
      <c r="V178" s="184">
        <f>MIN((C171+N171+Y171),(P3_In_Deduct*P3_In_FamMult))</f>
        <v>0</v>
      </c>
      <c r="W178" s="12"/>
      <c r="X178" s="12"/>
      <c r="Y178" s="12"/>
      <c r="Z178" s="12"/>
      <c r="AA178" s="12"/>
      <c r="AB178" s="12"/>
      <c r="AC178" s="12"/>
    </row>
    <row r="179" spans="1:34" ht="15" x14ac:dyDescent="0.25">
      <c r="A179" s="76"/>
      <c r="B179" s="64"/>
      <c r="C179" s="126" t="s">
        <v>78</v>
      </c>
      <c r="D179" s="133">
        <f>IF(F179&lt;E179,F179,E179)</f>
        <v>0</v>
      </c>
      <c r="E179" s="135">
        <f>'Plan Defn'!H$10</f>
        <v>6000</v>
      </c>
      <c r="F179" s="136">
        <f t="shared" ref="F179:F183" si="2">SUM(L$178:L$181)</f>
        <v>0</v>
      </c>
      <c r="G179" s="127" t="s">
        <v>93</v>
      </c>
      <c r="H179" s="132"/>
      <c r="I179" s="132"/>
      <c r="J179" s="132"/>
      <c r="K179" s="126" t="s">
        <v>95</v>
      </c>
      <c r="L179" s="134">
        <f>V181</f>
        <v>0</v>
      </c>
      <c r="M179" s="16"/>
      <c r="N179" s="16"/>
      <c r="O179" s="16"/>
      <c r="P179" s="16"/>
      <c r="Q179" s="16"/>
      <c r="R179" s="16"/>
      <c r="S179" s="16"/>
      <c r="T179" s="73" t="s">
        <v>49</v>
      </c>
      <c r="V179" s="185"/>
      <c r="W179" s="16"/>
      <c r="X179" s="16"/>
      <c r="Y179" s="16"/>
      <c r="Z179" s="16"/>
      <c r="AA179" s="16"/>
      <c r="AB179" s="16"/>
      <c r="AC179" s="16"/>
    </row>
    <row r="180" spans="1:34" ht="15" x14ac:dyDescent="0.25">
      <c r="A180" s="76"/>
      <c r="B180" s="64"/>
      <c r="C180" s="126" t="s">
        <v>79</v>
      </c>
      <c r="D180" s="133">
        <f t="shared" ref="D180:D183" si="3">IF(F180&lt;E180,F180,E180)</f>
        <v>0</v>
      </c>
      <c r="E180" s="135">
        <f>'Plan Defn'!H$10</f>
        <v>6000</v>
      </c>
      <c r="F180" s="136">
        <f t="shared" si="2"/>
        <v>0</v>
      </c>
      <c r="G180" s="127" t="s">
        <v>93</v>
      </c>
      <c r="H180" s="132"/>
      <c r="I180" s="132"/>
      <c r="J180" s="132"/>
      <c r="K180" s="126" t="s">
        <v>96</v>
      </c>
      <c r="L180" s="134">
        <f>SUM(C154,N154,Y154)</f>
        <v>0</v>
      </c>
      <c r="M180" s="16"/>
      <c r="N180" s="16"/>
      <c r="O180" s="16"/>
      <c r="P180" s="16"/>
      <c r="Q180" s="16"/>
      <c r="R180" s="16"/>
      <c r="S180" s="16"/>
      <c r="T180" s="16"/>
      <c r="U180" s="16"/>
      <c r="V180" s="186"/>
      <c r="W180" s="16"/>
      <c r="X180" s="16"/>
      <c r="Y180" s="16"/>
      <c r="Z180" s="16"/>
      <c r="AA180" s="16"/>
      <c r="AB180" s="16"/>
      <c r="AC180" s="16"/>
    </row>
    <row r="181" spans="1:34" ht="15.75" x14ac:dyDescent="0.25">
      <c r="A181" s="76"/>
      <c r="B181" s="64"/>
      <c r="C181" s="126" t="s">
        <v>80</v>
      </c>
      <c r="D181" s="133">
        <f t="shared" si="3"/>
        <v>0</v>
      </c>
      <c r="E181" s="135">
        <f>'Plan Defn'!H$10</f>
        <v>6000</v>
      </c>
      <c r="F181" s="136">
        <f t="shared" si="2"/>
        <v>0</v>
      </c>
      <c r="G181" s="127" t="s">
        <v>93</v>
      </c>
      <c r="H181" s="46"/>
      <c r="I181" s="46"/>
      <c r="J181" s="46"/>
      <c r="K181" s="126" t="s">
        <v>97</v>
      </c>
      <c r="L181" s="134">
        <f>C161</f>
        <v>0</v>
      </c>
      <c r="M181" s="12"/>
      <c r="N181" s="12"/>
      <c r="O181" s="12"/>
      <c r="P181" s="12"/>
      <c r="Q181" s="12"/>
      <c r="R181" s="12"/>
      <c r="S181" s="12"/>
      <c r="T181" s="73" t="s">
        <v>44</v>
      </c>
      <c r="U181" s="73"/>
      <c r="V181" s="184">
        <f>MIN((C174+N174+Y174),(P3_In_OOPMax*P3_In_FamMult))</f>
        <v>0</v>
      </c>
      <c r="W181" s="12"/>
      <c r="X181" s="12"/>
      <c r="Y181" s="12"/>
      <c r="Z181" s="12"/>
      <c r="AA181" s="12"/>
      <c r="AB181" s="12"/>
      <c r="AC181" s="12"/>
    </row>
    <row r="182" spans="1:34" ht="15" x14ac:dyDescent="0.25">
      <c r="A182" s="76"/>
      <c r="B182" s="64"/>
      <c r="C182" s="126" t="s">
        <v>81</v>
      </c>
      <c r="D182" s="133">
        <f t="shared" si="3"/>
        <v>0</v>
      </c>
      <c r="E182" s="135">
        <f>'Plan Defn'!H$10</f>
        <v>6000</v>
      </c>
      <c r="F182" s="136">
        <f t="shared" si="2"/>
        <v>0</v>
      </c>
      <c r="G182" s="127" t="s">
        <v>93</v>
      </c>
      <c r="H182" s="132"/>
      <c r="I182" s="132"/>
      <c r="J182" s="132"/>
      <c r="K182" s="132"/>
      <c r="L182" s="132"/>
      <c r="M182" s="16"/>
      <c r="N182" s="16"/>
      <c r="O182" s="16"/>
      <c r="P182" s="16"/>
      <c r="Q182" s="16"/>
      <c r="R182" s="16"/>
      <c r="S182" s="16"/>
      <c r="T182" s="73" t="s">
        <v>50</v>
      </c>
      <c r="U182" s="16"/>
      <c r="V182" s="65"/>
      <c r="W182" s="16"/>
      <c r="X182" s="16"/>
      <c r="Y182" s="16"/>
      <c r="Z182" s="16"/>
      <c r="AA182" s="16"/>
      <c r="AB182" s="16"/>
      <c r="AC182" s="16"/>
    </row>
    <row r="183" spans="1:34" x14ac:dyDescent="0.2">
      <c r="C183" s="126" t="s">
        <v>82</v>
      </c>
      <c r="D183" s="133">
        <f t="shared" si="3"/>
        <v>0</v>
      </c>
      <c r="E183" s="135">
        <f>'Plan Defn'!H$10</f>
        <v>6000</v>
      </c>
      <c r="F183" s="136">
        <f t="shared" si="2"/>
        <v>0</v>
      </c>
      <c r="G183" s="127" t="s">
        <v>93</v>
      </c>
      <c r="H183" s="132"/>
      <c r="I183" s="132"/>
      <c r="J183" s="132"/>
      <c r="K183" s="132"/>
      <c r="L183" s="132"/>
    </row>
    <row r="184" spans="1:34" ht="15.75" x14ac:dyDescent="0.25">
      <c r="B184" s="48"/>
      <c r="C184" s="215" t="s">
        <v>3</v>
      </c>
      <c r="D184" s="215"/>
      <c r="E184" s="215"/>
      <c r="F184" s="215"/>
      <c r="G184" s="215"/>
      <c r="H184" s="215"/>
      <c r="I184" s="215"/>
      <c r="J184" s="215"/>
      <c r="K184" s="215"/>
      <c r="L184" s="49"/>
      <c r="M184" s="50"/>
      <c r="N184" s="215" t="s">
        <v>4</v>
      </c>
      <c r="O184" s="215"/>
      <c r="P184" s="215"/>
      <c r="Q184" s="215"/>
      <c r="R184" s="215"/>
      <c r="S184" s="215"/>
      <c r="T184" s="215"/>
      <c r="U184" s="215"/>
      <c r="V184" s="215"/>
      <c r="W184" s="49"/>
      <c r="X184" s="50"/>
      <c r="Y184" s="215" t="s">
        <v>7</v>
      </c>
      <c r="Z184" s="215"/>
      <c r="AA184" s="215"/>
      <c r="AB184" s="215"/>
      <c r="AC184" s="215"/>
      <c r="AD184" s="215"/>
      <c r="AE184" s="215"/>
      <c r="AF184" s="215"/>
      <c r="AG184" s="215"/>
      <c r="AH184" s="215"/>
    </row>
    <row r="185" spans="1:34" ht="15.75" x14ac:dyDescent="0.25">
      <c r="B185" s="48"/>
      <c r="C185" s="214" t="s">
        <v>18</v>
      </c>
      <c r="D185" s="214"/>
      <c r="E185" s="214" t="s">
        <v>19</v>
      </c>
      <c r="F185" s="214"/>
      <c r="G185" s="216" t="s">
        <v>20</v>
      </c>
      <c r="H185" s="216"/>
      <c r="I185" s="214" t="s">
        <v>21</v>
      </c>
      <c r="J185" s="214"/>
      <c r="K185" s="214" t="s">
        <v>22</v>
      </c>
      <c r="L185" s="214"/>
      <c r="M185" s="50"/>
      <c r="N185" s="214" t="s">
        <v>18</v>
      </c>
      <c r="O185" s="214"/>
      <c r="P185" s="214" t="s">
        <v>19</v>
      </c>
      <c r="Q185" s="214"/>
      <c r="R185" s="216" t="s">
        <v>20</v>
      </c>
      <c r="S185" s="216"/>
      <c r="T185" s="214" t="s">
        <v>21</v>
      </c>
      <c r="U185" s="214"/>
      <c r="V185" s="214" t="s">
        <v>22</v>
      </c>
      <c r="W185" s="214"/>
      <c r="X185" s="50"/>
      <c r="Y185" s="214" t="s">
        <v>18</v>
      </c>
      <c r="Z185" s="214"/>
      <c r="AA185" s="214" t="s">
        <v>19</v>
      </c>
      <c r="AB185" s="214"/>
      <c r="AC185" s="216" t="s">
        <v>20</v>
      </c>
      <c r="AD185" s="216"/>
      <c r="AE185" s="214" t="s">
        <v>21</v>
      </c>
      <c r="AF185" s="214"/>
      <c r="AG185" s="214" t="s">
        <v>22</v>
      </c>
      <c r="AH185" s="214"/>
    </row>
    <row r="186" spans="1:34" ht="14.25" x14ac:dyDescent="0.2">
      <c r="B186" s="51"/>
      <c r="C186" s="212" t="s">
        <v>23</v>
      </c>
      <c r="D186" s="212"/>
      <c r="E186" s="212" t="s">
        <v>23</v>
      </c>
      <c r="F186" s="212"/>
      <c r="G186" s="212" t="s">
        <v>23</v>
      </c>
      <c r="H186" s="212"/>
      <c r="I186" s="212" t="s">
        <v>23</v>
      </c>
      <c r="J186" s="212"/>
      <c r="K186" s="212" t="s">
        <v>23</v>
      </c>
      <c r="L186" s="212"/>
      <c r="M186" s="52"/>
      <c r="N186" s="212" t="s">
        <v>23</v>
      </c>
      <c r="O186" s="212"/>
      <c r="P186" s="212" t="s">
        <v>23</v>
      </c>
      <c r="Q186" s="212"/>
      <c r="R186" s="212" t="s">
        <v>23</v>
      </c>
      <c r="S186" s="212"/>
      <c r="T186" s="212" t="s">
        <v>23</v>
      </c>
      <c r="U186" s="212"/>
      <c r="V186" s="212" t="s">
        <v>23</v>
      </c>
      <c r="W186" s="212"/>
      <c r="X186" s="52"/>
      <c r="Y186" s="212" t="s">
        <v>23</v>
      </c>
      <c r="Z186" s="212"/>
      <c r="AA186" s="212" t="s">
        <v>23</v>
      </c>
      <c r="AB186" s="212"/>
      <c r="AC186" s="212" t="s">
        <v>23</v>
      </c>
      <c r="AD186" s="212"/>
      <c r="AE186" s="212" t="s">
        <v>23</v>
      </c>
      <c r="AF186" s="212"/>
      <c r="AG186" s="212" t="s">
        <v>23</v>
      </c>
      <c r="AH186" s="212"/>
    </row>
    <row r="187" spans="1:34" ht="14.25" x14ac:dyDescent="0.2">
      <c r="B187" s="51"/>
      <c r="C187" s="19" t="s">
        <v>24</v>
      </c>
      <c r="D187" s="19" t="s">
        <v>25</v>
      </c>
      <c r="E187" s="19" t="s">
        <v>24</v>
      </c>
      <c r="F187" s="19" t="s">
        <v>25</v>
      </c>
      <c r="G187" s="19" t="s">
        <v>24</v>
      </c>
      <c r="H187" s="19" t="s">
        <v>25</v>
      </c>
      <c r="I187" s="19" t="s">
        <v>24</v>
      </c>
      <c r="J187" s="19" t="s">
        <v>25</v>
      </c>
      <c r="K187" s="19" t="s">
        <v>24</v>
      </c>
      <c r="L187" s="19" t="s">
        <v>25</v>
      </c>
      <c r="M187" s="52"/>
      <c r="N187" s="19" t="s">
        <v>24</v>
      </c>
      <c r="O187" s="19" t="s">
        <v>25</v>
      </c>
      <c r="P187" s="19" t="s">
        <v>24</v>
      </c>
      <c r="Q187" s="19" t="s">
        <v>25</v>
      </c>
      <c r="R187" s="19" t="s">
        <v>24</v>
      </c>
      <c r="S187" s="19" t="s">
        <v>25</v>
      </c>
      <c r="T187" s="19" t="s">
        <v>24</v>
      </c>
      <c r="U187" s="19" t="s">
        <v>25</v>
      </c>
      <c r="V187" s="19" t="s">
        <v>24</v>
      </c>
      <c r="W187" s="19" t="s">
        <v>25</v>
      </c>
      <c r="X187" s="52"/>
      <c r="Y187" s="19" t="s">
        <v>24</v>
      </c>
      <c r="Z187" s="19" t="s">
        <v>25</v>
      </c>
      <c r="AA187" s="19" t="s">
        <v>24</v>
      </c>
      <c r="AB187" s="19" t="s">
        <v>25</v>
      </c>
      <c r="AC187" s="19" t="s">
        <v>24</v>
      </c>
      <c r="AD187" s="19" t="s">
        <v>25</v>
      </c>
      <c r="AE187" s="19" t="s">
        <v>24</v>
      </c>
      <c r="AF187" s="19" t="s">
        <v>25</v>
      </c>
      <c r="AG187" s="19" t="s">
        <v>24</v>
      </c>
      <c r="AH187" s="19" t="s">
        <v>25</v>
      </c>
    </row>
    <row r="188" spans="1:34" ht="15" x14ac:dyDescent="0.25">
      <c r="B188" s="53" t="s">
        <v>26</v>
      </c>
      <c r="C188" s="54">
        <f>IF('Plan Comparison Calculator'!$G$11=FALSE,0,3*P1_In_Ov+P3_In_Maternity_IP_Copay)</f>
        <v>0</v>
      </c>
      <c r="D188" s="55"/>
      <c r="E188" s="54">
        <f>IF('Plan Comparison Calculator'!$G$11=FALSE,0,Maternity_Office)</f>
        <v>0</v>
      </c>
      <c r="F188" s="55"/>
      <c r="G188" s="54">
        <f>IF('Plan Comparison Calculator'!$G$11=FALSE,0,Maternity_XrayLab)</f>
        <v>0</v>
      </c>
      <c r="H188" s="55"/>
      <c r="I188" s="54">
        <f>IF('Plan Comparison Calculator'!$G$11=FALSE,0,Maternity_Facility)</f>
        <v>0</v>
      </c>
      <c r="J188" s="55"/>
      <c r="K188" s="54">
        <f>IF('Plan Comparison Calculator'!$G$11=FALSE,0,Maternity_Physician)</f>
        <v>0</v>
      </c>
      <c r="L188" s="55"/>
      <c r="M188" s="52"/>
      <c r="N188" s="54">
        <f>IF('Plan Comparison Calculator'!$I$11=FALSE,0,3*P1_In_Ov+P3_In_Maternity_IP_Copay)</f>
        <v>0</v>
      </c>
      <c r="O188" s="55"/>
      <c r="P188" s="54">
        <f>IF('Plan Comparison Calculator'!$I$11=FALSE,0,Maternity_Office)</f>
        <v>0</v>
      </c>
      <c r="Q188" s="55"/>
      <c r="R188" s="54">
        <f>IF('Plan Comparison Calculator'!$I$11=FALSE,0,Maternity_XrayLab)</f>
        <v>0</v>
      </c>
      <c r="S188" s="55"/>
      <c r="T188" s="54">
        <f>IF('Plan Comparison Calculator'!$I$11=FALSE,0,Maternity_Facility)</f>
        <v>0</v>
      </c>
      <c r="U188" s="55"/>
      <c r="V188" s="54">
        <f>IF('Plan Comparison Calculator'!$I$11=FALSE,0,Maternity_Physician)</f>
        <v>0</v>
      </c>
      <c r="W188" s="55"/>
      <c r="X188" s="52"/>
      <c r="Y188" s="54"/>
      <c r="Z188" s="55"/>
      <c r="AA188" s="54"/>
      <c r="AB188" s="55"/>
      <c r="AC188" s="54"/>
      <c r="AD188" s="55"/>
      <c r="AE188" s="54">
        <f>IF(AND('Plan Comparison Calculator'!$G$11=FALSE,'Plan Comparison Calculator'!$I$11=FALSE),0,Baby_Facility)</f>
        <v>0</v>
      </c>
      <c r="AF188" s="55"/>
      <c r="AG188" s="54">
        <f>IF(AND('Plan Comparison Calculator'!$G$11=FALSE,'Plan Comparison Calculator'!$I$11=FALSE),0,Baby_Physician)</f>
        <v>0</v>
      </c>
      <c r="AH188" s="55"/>
    </row>
    <row r="189" spans="1:34" ht="15" x14ac:dyDescent="0.25">
      <c r="B189" s="53"/>
      <c r="C189" s="54"/>
      <c r="D189" s="55"/>
      <c r="E189" s="54"/>
      <c r="F189" s="55"/>
      <c r="G189" s="54"/>
      <c r="H189" s="55"/>
      <c r="I189" s="54"/>
      <c r="J189" s="55"/>
      <c r="K189" s="54"/>
      <c r="L189" s="55"/>
      <c r="M189" s="52"/>
      <c r="N189" s="54"/>
      <c r="O189" s="55"/>
      <c r="P189" s="54"/>
      <c r="Q189" s="55"/>
      <c r="R189" s="54"/>
      <c r="S189" s="55"/>
      <c r="T189" s="54"/>
      <c r="U189" s="55"/>
      <c r="V189" s="54"/>
      <c r="W189" s="55"/>
      <c r="X189" s="52"/>
      <c r="Y189" s="54"/>
      <c r="Z189" s="55"/>
      <c r="AA189" s="54"/>
      <c r="AB189" s="55"/>
      <c r="AC189" s="54"/>
      <c r="AD189" s="55"/>
      <c r="AE189" s="54"/>
      <c r="AF189" s="55"/>
      <c r="AG189" s="54"/>
      <c r="AH189" s="55"/>
    </row>
    <row r="190" spans="1:34" ht="15" x14ac:dyDescent="0.25">
      <c r="B190" s="53"/>
      <c r="C190" s="54"/>
      <c r="D190" s="55"/>
      <c r="E190" s="54"/>
      <c r="F190" s="55"/>
      <c r="G190" s="54"/>
      <c r="H190" s="55"/>
      <c r="I190" s="54"/>
      <c r="J190" s="55"/>
      <c r="K190" s="54"/>
      <c r="L190" s="55"/>
      <c r="M190" s="52"/>
      <c r="N190" s="54"/>
      <c r="O190" s="55"/>
      <c r="P190" s="54"/>
      <c r="Q190" s="55"/>
      <c r="R190" s="54"/>
      <c r="S190" s="55"/>
      <c r="T190" s="54"/>
      <c r="U190" s="55"/>
      <c r="V190" s="54"/>
      <c r="W190" s="55"/>
      <c r="X190" s="52"/>
      <c r="Y190" s="54"/>
      <c r="Z190" s="55"/>
      <c r="AA190" s="54"/>
      <c r="AB190" s="55"/>
      <c r="AC190" s="54"/>
      <c r="AD190" s="55"/>
      <c r="AE190" s="54"/>
      <c r="AF190" s="55"/>
      <c r="AG190" s="54"/>
      <c r="AH190" s="55"/>
    </row>
    <row r="191" spans="1:34" ht="15" x14ac:dyDescent="0.25">
      <c r="B191" s="53"/>
      <c r="C191" s="54"/>
      <c r="D191" s="55"/>
      <c r="E191" s="54"/>
      <c r="F191" s="55"/>
      <c r="G191" s="54"/>
      <c r="H191" s="55"/>
      <c r="I191" s="54"/>
      <c r="J191" s="55"/>
      <c r="K191" s="54"/>
      <c r="L191" s="55"/>
      <c r="M191" s="52"/>
      <c r="N191" s="54"/>
      <c r="O191" s="55"/>
      <c r="P191" s="54"/>
      <c r="Q191" s="55"/>
      <c r="R191" s="54"/>
      <c r="S191" s="55"/>
      <c r="T191" s="54"/>
      <c r="U191" s="55"/>
      <c r="V191" s="54"/>
      <c r="W191" s="55"/>
      <c r="X191" s="52"/>
      <c r="Y191" s="54"/>
      <c r="Z191" s="55"/>
      <c r="AA191" s="54"/>
      <c r="AB191" s="55"/>
      <c r="AC191" s="54"/>
      <c r="AD191" s="55"/>
      <c r="AE191" s="54"/>
      <c r="AF191" s="55"/>
      <c r="AG191" s="54"/>
      <c r="AH191" s="55"/>
    </row>
    <row r="192" spans="1:34" ht="15" x14ac:dyDescent="0.25">
      <c r="B192" s="53"/>
      <c r="C192" s="54"/>
      <c r="D192" s="55"/>
      <c r="E192" s="54"/>
      <c r="F192" s="55"/>
      <c r="G192" s="54"/>
      <c r="H192" s="55"/>
      <c r="I192" s="54"/>
      <c r="J192" s="55"/>
      <c r="K192" s="54"/>
      <c r="L192" s="55"/>
      <c r="M192" s="52"/>
      <c r="N192" s="54"/>
      <c r="O192" s="55"/>
      <c r="P192" s="54"/>
      <c r="Q192" s="55"/>
      <c r="R192" s="54"/>
      <c r="S192" s="55"/>
      <c r="T192" s="54"/>
      <c r="U192" s="55"/>
      <c r="V192" s="54"/>
      <c r="W192" s="55"/>
      <c r="X192" s="52"/>
      <c r="Y192" s="54"/>
      <c r="Z192" s="55"/>
      <c r="AA192" s="54"/>
      <c r="AB192" s="55"/>
      <c r="AC192" s="54"/>
      <c r="AD192" s="55"/>
      <c r="AE192" s="54"/>
      <c r="AF192" s="55"/>
      <c r="AG192" s="54"/>
      <c r="AH192" s="55"/>
    </row>
    <row r="193" spans="1:34" ht="15" x14ac:dyDescent="0.25">
      <c r="B193" s="53"/>
      <c r="C193" s="54"/>
      <c r="D193" s="55"/>
      <c r="E193" s="54"/>
      <c r="F193" s="55"/>
      <c r="G193" s="54"/>
      <c r="H193" s="55"/>
      <c r="I193" s="54"/>
      <c r="J193" s="55"/>
      <c r="K193" s="54"/>
      <c r="L193" s="55"/>
      <c r="M193" s="52"/>
      <c r="N193" s="54"/>
      <c r="O193" s="55"/>
      <c r="P193" s="54"/>
      <c r="Q193" s="55"/>
      <c r="R193" s="54"/>
      <c r="S193" s="55"/>
      <c r="T193" s="54"/>
      <c r="U193" s="55"/>
      <c r="V193" s="54"/>
      <c r="W193" s="55"/>
      <c r="X193" s="52"/>
      <c r="Y193" s="54"/>
      <c r="Z193" s="55"/>
      <c r="AA193" s="54"/>
      <c r="AB193" s="55"/>
      <c r="AC193" s="54"/>
      <c r="AD193" s="55"/>
      <c r="AE193" s="54"/>
      <c r="AF193" s="55"/>
      <c r="AG193" s="54"/>
      <c r="AH193" s="55"/>
    </row>
    <row r="194" spans="1:34" ht="15" x14ac:dyDescent="0.25">
      <c r="B194" s="53" t="s">
        <v>27</v>
      </c>
      <c r="C194" s="54">
        <f>'Plan Comparison Calculator'!$G$17*P1_In_Ov*0</f>
        <v>0</v>
      </c>
      <c r="D194" s="55"/>
      <c r="E194" s="54">
        <f>'Plan Comparison Calculator'!$G$17*Physical_Office-C194</f>
        <v>0</v>
      </c>
      <c r="F194" s="55"/>
      <c r="G194" s="54">
        <f>'Plan Comparison Calculator'!$G$17*Physical_XrayLab</f>
        <v>0</v>
      </c>
      <c r="H194" s="55"/>
      <c r="I194" s="54"/>
      <c r="J194" s="55"/>
      <c r="K194" s="54"/>
      <c r="L194" s="55"/>
      <c r="M194" s="52"/>
      <c r="N194" s="54">
        <f>'Plan Comparison Calculator'!$I$17*P1_In_Ov*0</f>
        <v>0</v>
      </c>
      <c r="O194" s="55"/>
      <c r="P194" s="54">
        <f>'Plan Comparison Calculator'!$I$17*Physical_Office-N194</f>
        <v>0</v>
      </c>
      <c r="Q194" s="55"/>
      <c r="R194" s="54">
        <f>'Plan Comparison Calculator'!$I$17*Physical_XrayLab</f>
        <v>0</v>
      </c>
      <c r="S194" s="55"/>
      <c r="T194" s="54"/>
      <c r="U194" s="55"/>
      <c r="V194" s="54"/>
      <c r="W194" s="55"/>
      <c r="X194" s="52"/>
      <c r="Y194" s="54">
        <f>'Plan Comparison Calculator'!$J$17*P3_In_OV*0</f>
        <v>0</v>
      </c>
      <c r="Z194" s="55"/>
      <c r="AA194" s="54">
        <f>'Plan Comparison Calculator'!$J$17*Physical_Office-Y194</f>
        <v>0</v>
      </c>
      <c r="AB194" s="55"/>
      <c r="AC194" s="54">
        <f>'Plan Comparison Calculator'!$J$17*Physical_XrayLab</f>
        <v>0</v>
      </c>
      <c r="AD194" s="55"/>
      <c r="AE194" s="54"/>
      <c r="AF194" s="55"/>
      <c r="AG194" s="54"/>
      <c r="AH194" s="55"/>
    </row>
    <row r="195" spans="1:34" ht="15" x14ac:dyDescent="0.25">
      <c r="B195" s="53"/>
      <c r="C195" s="54"/>
      <c r="D195" s="55"/>
      <c r="E195" s="54"/>
      <c r="F195" s="55"/>
      <c r="G195" s="54"/>
      <c r="H195" s="55"/>
      <c r="I195" s="54"/>
      <c r="J195" s="55"/>
      <c r="K195" s="54"/>
      <c r="L195" s="55"/>
      <c r="M195" s="52"/>
      <c r="N195" s="54"/>
      <c r="O195" s="55"/>
      <c r="P195" s="54"/>
      <c r="Q195" s="55"/>
      <c r="R195" s="54"/>
      <c r="S195" s="55"/>
      <c r="T195" s="54"/>
      <c r="U195" s="55"/>
      <c r="V195" s="54"/>
      <c r="W195" s="55"/>
      <c r="X195" s="52"/>
      <c r="Y195" s="54"/>
      <c r="Z195" s="55"/>
      <c r="AA195" s="54"/>
      <c r="AB195" s="55"/>
      <c r="AC195" s="54"/>
      <c r="AD195" s="55"/>
      <c r="AE195" s="54"/>
      <c r="AF195" s="55"/>
      <c r="AG195" s="54"/>
      <c r="AH195" s="55"/>
    </row>
    <row r="196" spans="1:34" ht="15" x14ac:dyDescent="0.25">
      <c r="B196" s="53" t="s">
        <v>28</v>
      </c>
      <c r="C196" s="54">
        <f>'Plan Comparison Calculator'!$G$19*P1_In_Ov</f>
        <v>0</v>
      </c>
      <c r="D196" s="55"/>
      <c r="E196" s="54">
        <f>'Plan Comparison Calculator'!$G$19*Primary_Office-C196</f>
        <v>0</v>
      </c>
      <c r="F196" s="55"/>
      <c r="G196" s="54">
        <f>'Plan Comparison Calculator'!$G$19*Primary_XrayLab</f>
        <v>0</v>
      </c>
      <c r="H196" s="55"/>
      <c r="I196" s="54"/>
      <c r="J196" s="55"/>
      <c r="K196" s="54"/>
      <c r="L196" s="55"/>
      <c r="M196" s="52"/>
      <c r="N196" s="54">
        <f>'Plan Comparison Calculator'!$I$19*P1_In_Ov</f>
        <v>0</v>
      </c>
      <c r="O196" s="55"/>
      <c r="P196" s="54">
        <f>'Plan Comparison Calculator'!$I$19*Primary_Office-N196</f>
        <v>0</v>
      </c>
      <c r="Q196" s="55"/>
      <c r="R196" s="54">
        <f>'Plan Comparison Calculator'!$I$19*Primary_XrayLab</f>
        <v>0</v>
      </c>
      <c r="S196" s="55"/>
      <c r="T196" s="54"/>
      <c r="U196" s="55"/>
      <c r="V196" s="54"/>
      <c r="W196" s="55"/>
      <c r="X196" s="52"/>
      <c r="Y196" s="54">
        <f>'Plan Comparison Calculator'!$J$19*P3_In_OV</f>
        <v>0</v>
      </c>
      <c r="Z196" s="55"/>
      <c r="AA196" s="54">
        <f>'Plan Comparison Calculator'!$J$19*Primary_Office-Y196</f>
        <v>0</v>
      </c>
      <c r="AB196" s="55"/>
      <c r="AC196" s="54">
        <f>'Plan Comparison Calculator'!$J$19*Primary_XrayLab</f>
        <v>0</v>
      </c>
      <c r="AD196" s="55"/>
      <c r="AE196" s="54"/>
      <c r="AF196" s="55"/>
      <c r="AG196" s="54"/>
      <c r="AH196" s="55"/>
    </row>
    <row r="197" spans="1:34" ht="15" x14ac:dyDescent="0.25">
      <c r="B197" s="53"/>
      <c r="C197" s="54"/>
      <c r="D197" s="55"/>
      <c r="E197" s="54"/>
      <c r="F197" s="55"/>
      <c r="G197" s="54"/>
      <c r="H197" s="55"/>
      <c r="I197" s="54"/>
      <c r="J197" s="55"/>
      <c r="K197" s="54"/>
      <c r="L197" s="55"/>
      <c r="M197" s="52"/>
      <c r="N197" s="54"/>
      <c r="O197" s="55"/>
      <c r="P197" s="54"/>
      <c r="Q197" s="55"/>
      <c r="R197" s="54"/>
      <c r="S197" s="55"/>
      <c r="T197" s="54"/>
      <c r="U197" s="55"/>
      <c r="V197" s="54"/>
      <c r="W197" s="55"/>
      <c r="X197" s="52"/>
      <c r="Y197" s="54"/>
      <c r="Z197" s="55"/>
      <c r="AA197" s="54"/>
      <c r="AB197" s="55"/>
      <c r="AC197" s="54"/>
      <c r="AD197" s="55"/>
      <c r="AE197" s="54"/>
      <c r="AF197" s="55"/>
      <c r="AG197" s="54"/>
      <c r="AH197" s="55"/>
    </row>
    <row r="198" spans="1:34" ht="15" x14ac:dyDescent="0.25">
      <c r="A198" s="213" t="str">
        <f>P1_Plan</f>
        <v>HSA HMO</v>
      </c>
      <c r="B198" s="53" t="s">
        <v>29</v>
      </c>
      <c r="C198" s="54">
        <f>'Plan Comparison Calculator'!$G$21*P1_In_Ov</f>
        <v>0</v>
      </c>
      <c r="D198" s="55"/>
      <c r="E198" s="54">
        <f>Specialist_Office*'Plan Comparison Calculator'!$G$21-C198</f>
        <v>0</v>
      </c>
      <c r="F198" s="55"/>
      <c r="G198" s="54">
        <f>Specialist_XrayLab*'Plan Comparison Calculator'!$G$21</f>
        <v>0</v>
      </c>
      <c r="H198" s="55"/>
      <c r="I198" s="54"/>
      <c r="J198" s="55"/>
      <c r="K198" s="54"/>
      <c r="L198" s="55"/>
      <c r="M198" s="52"/>
      <c r="N198" s="54">
        <f>'Plan Comparison Calculator'!$I$21*P1_In_Ov</f>
        <v>0</v>
      </c>
      <c r="O198" s="55"/>
      <c r="P198" s="54">
        <f>Specialist_Office*'Plan Comparison Calculator'!$I$21-N198</f>
        <v>0</v>
      </c>
      <c r="Q198" s="55"/>
      <c r="R198" s="54">
        <f>Specialist_XrayLab*'Plan Comparison Calculator'!$I$21</f>
        <v>0</v>
      </c>
      <c r="S198" s="55"/>
      <c r="T198" s="54"/>
      <c r="U198" s="55"/>
      <c r="V198" s="54"/>
      <c r="W198" s="55"/>
      <c r="X198" s="52"/>
      <c r="Y198" s="54">
        <f>'Plan Comparison Calculator'!$J$21*P3_In_OV</f>
        <v>0</v>
      </c>
      <c r="Z198" s="55"/>
      <c r="AA198" s="54">
        <f>Specialist_Office*'Plan Comparison Calculator'!$J$21-Y198</f>
        <v>0</v>
      </c>
      <c r="AB198" s="55"/>
      <c r="AC198" s="54">
        <f>Specialist_XrayLab*'Plan Comparison Calculator'!$J$21</f>
        <v>0</v>
      </c>
      <c r="AD198" s="55"/>
      <c r="AE198" s="54"/>
      <c r="AF198" s="55"/>
      <c r="AG198" s="54"/>
      <c r="AH198" s="55"/>
    </row>
    <row r="199" spans="1:34" ht="15" x14ac:dyDescent="0.25">
      <c r="A199" s="213"/>
      <c r="B199" s="53"/>
      <c r="C199" s="54"/>
      <c r="D199" s="55"/>
      <c r="E199" s="54"/>
      <c r="F199" s="55"/>
      <c r="G199" s="54"/>
      <c r="H199" s="55"/>
      <c r="I199" s="54"/>
      <c r="J199" s="55"/>
      <c r="K199" s="54"/>
      <c r="L199" s="55"/>
      <c r="M199" s="52"/>
      <c r="N199" s="54"/>
      <c r="O199" s="55"/>
      <c r="P199" s="54"/>
      <c r="Q199" s="55"/>
      <c r="R199" s="54"/>
      <c r="S199" s="55"/>
      <c r="T199" s="54"/>
      <c r="U199" s="55"/>
      <c r="V199" s="54"/>
      <c r="W199" s="55"/>
      <c r="X199" s="52"/>
      <c r="Y199" s="54"/>
      <c r="Z199" s="55"/>
      <c r="AA199" s="54"/>
      <c r="AB199" s="55"/>
      <c r="AC199" s="54"/>
      <c r="AD199" s="55"/>
      <c r="AE199" s="54"/>
      <c r="AF199" s="55"/>
      <c r="AG199" s="54"/>
      <c r="AH199" s="55"/>
    </row>
    <row r="200" spans="1:34" ht="15" x14ac:dyDescent="0.25">
      <c r="A200" s="213"/>
      <c r="B200" s="53" t="s">
        <v>30</v>
      </c>
      <c r="C200" s="54">
        <f>'Plan Comparison Calculator'!$G$23*P1_In_ER</f>
        <v>0</v>
      </c>
      <c r="D200" s="55"/>
      <c r="E200" s="54"/>
      <c r="F200" s="55"/>
      <c r="G200" s="54"/>
      <c r="H200" s="55"/>
      <c r="I200" s="54">
        <f>ER*'Plan Comparison Calculator'!$G$23-C200</f>
        <v>0</v>
      </c>
      <c r="J200" s="55"/>
      <c r="K200" s="54"/>
      <c r="L200" s="55"/>
      <c r="M200" s="52"/>
      <c r="N200" s="54">
        <f>'Plan Comparison Calculator'!$I$23*P1_In_ER</f>
        <v>0</v>
      </c>
      <c r="O200" s="55"/>
      <c r="P200" s="54"/>
      <c r="Q200" s="55"/>
      <c r="R200" s="54"/>
      <c r="S200" s="55"/>
      <c r="T200" s="54">
        <f>ER*'Plan Comparison Calculator'!$I$23-N200</f>
        <v>0</v>
      </c>
      <c r="U200" s="55"/>
      <c r="V200" s="54"/>
      <c r="W200" s="55"/>
      <c r="X200" s="52"/>
      <c r="Y200" s="54">
        <f>'Plan Comparison Calculator'!$J$23*P3_In_ER</f>
        <v>0</v>
      </c>
      <c r="Z200" s="55"/>
      <c r="AA200" s="54"/>
      <c r="AB200" s="55"/>
      <c r="AC200" s="54"/>
      <c r="AD200" s="55"/>
      <c r="AE200" s="54">
        <f>ER*'Plan Comparison Calculator'!$J$23-Y200</f>
        <v>0</v>
      </c>
      <c r="AF200" s="55"/>
      <c r="AG200" s="54"/>
      <c r="AH200" s="55"/>
    </row>
    <row r="201" spans="1:34" ht="15" x14ac:dyDescent="0.25">
      <c r="A201" s="213"/>
      <c r="B201" s="53"/>
      <c r="C201" s="54"/>
      <c r="D201" s="55"/>
      <c r="E201" s="54"/>
      <c r="F201" s="55"/>
      <c r="G201" s="54"/>
      <c r="H201" s="55"/>
      <c r="I201" s="54"/>
      <c r="J201" s="55"/>
      <c r="K201" s="54"/>
      <c r="L201" s="55"/>
      <c r="M201" s="52"/>
      <c r="N201" s="54"/>
      <c r="O201" s="55"/>
      <c r="P201" s="54"/>
      <c r="Q201" s="55"/>
      <c r="R201" s="54"/>
      <c r="S201" s="55"/>
      <c r="T201" s="54"/>
      <c r="U201" s="55"/>
      <c r="V201" s="54"/>
      <c r="W201" s="55"/>
      <c r="X201" s="52"/>
      <c r="Y201" s="54"/>
      <c r="Z201" s="55"/>
      <c r="AA201" s="54"/>
      <c r="AB201" s="55"/>
      <c r="AC201" s="54"/>
      <c r="AD201" s="55"/>
      <c r="AE201" s="54"/>
      <c r="AF201" s="55"/>
      <c r="AG201" s="54"/>
      <c r="AH201" s="55"/>
    </row>
    <row r="202" spans="1:34" ht="15" x14ac:dyDescent="0.25">
      <c r="A202" s="213"/>
      <c r="B202" s="53" t="s">
        <v>31</v>
      </c>
      <c r="C202" s="54"/>
      <c r="D202" s="55"/>
      <c r="E202" s="54"/>
      <c r="F202" s="55"/>
      <c r="G202" s="54">
        <f>Lab*'Plan Comparison Calculator'!$G$25</f>
        <v>0</v>
      </c>
      <c r="H202" s="55"/>
      <c r="I202" s="54"/>
      <c r="J202" s="55"/>
      <c r="K202" s="54"/>
      <c r="L202" s="55"/>
      <c r="M202" s="52"/>
      <c r="N202" s="54"/>
      <c r="O202" s="55"/>
      <c r="P202" s="54"/>
      <c r="Q202" s="55"/>
      <c r="R202" s="54">
        <f>Lab*'Plan Comparison Calculator'!$I$25</f>
        <v>0</v>
      </c>
      <c r="S202" s="55"/>
      <c r="T202" s="54"/>
      <c r="U202" s="55"/>
      <c r="V202" s="54"/>
      <c r="W202" s="55"/>
      <c r="X202" s="52"/>
      <c r="Y202" s="54"/>
      <c r="Z202" s="55"/>
      <c r="AA202" s="54"/>
      <c r="AB202" s="55"/>
      <c r="AC202" s="54">
        <f>Lab*'Plan Comparison Calculator'!$J$25</f>
        <v>0</v>
      </c>
      <c r="AD202" s="55"/>
      <c r="AE202" s="54"/>
      <c r="AF202" s="55"/>
      <c r="AG202" s="54"/>
      <c r="AH202" s="55"/>
    </row>
    <row r="203" spans="1:34" ht="15" x14ac:dyDescent="0.25">
      <c r="A203" s="213"/>
      <c r="B203" s="53"/>
      <c r="C203" s="54"/>
      <c r="D203" s="55"/>
      <c r="E203" s="54"/>
      <c r="F203" s="55"/>
      <c r="G203" s="54"/>
      <c r="H203" s="55"/>
      <c r="I203" s="54"/>
      <c r="J203" s="55"/>
      <c r="K203" s="54"/>
      <c r="L203" s="55"/>
      <c r="M203" s="52"/>
      <c r="N203" s="54"/>
      <c r="O203" s="55"/>
      <c r="P203" s="54"/>
      <c r="Q203" s="55"/>
      <c r="R203" s="54"/>
      <c r="S203" s="55"/>
      <c r="T203" s="54"/>
      <c r="U203" s="55"/>
      <c r="V203" s="54"/>
      <c r="W203" s="55"/>
      <c r="X203" s="52"/>
      <c r="Y203" s="54"/>
      <c r="Z203" s="55"/>
      <c r="AA203" s="54"/>
      <c r="AB203" s="55"/>
      <c r="AC203" s="54"/>
      <c r="AD203" s="55"/>
      <c r="AE203" s="54"/>
      <c r="AF203" s="55"/>
      <c r="AG203" s="54"/>
      <c r="AH203" s="55"/>
    </row>
    <row r="204" spans="1:34" ht="15" x14ac:dyDescent="0.25">
      <c r="A204" s="213"/>
      <c r="B204" s="53" t="s">
        <v>32</v>
      </c>
      <c r="C204" s="54"/>
      <c r="D204" s="55"/>
      <c r="E204" s="54"/>
      <c r="F204" s="55"/>
      <c r="G204" s="54">
        <f>Xray*'Plan Comparison Calculator'!$G$27</f>
        <v>0</v>
      </c>
      <c r="H204" s="55"/>
      <c r="I204" s="54"/>
      <c r="J204" s="55"/>
      <c r="K204" s="54"/>
      <c r="L204" s="55"/>
      <c r="M204" s="52"/>
      <c r="N204" s="54"/>
      <c r="O204" s="55"/>
      <c r="P204" s="54"/>
      <c r="Q204" s="55"/>
      <c r="R204" s="54">
        <f>Xray*'Plan Comparison Calculator'!$I$27</f>
        <v>0</v>
      </c>
      <c r="S204" s="55"/>
      <c r="T204" s="54"/>
      <c r="U204" s="55"/>
      <c r="V204" s="54"/>
      <c r="W204" s="55"/>
      <c r="X204" s="52"/>
      <c r="Y204" s="54"/>
      <c r="Z204" s="55"/>
      <c r="AA204" s="54"/>
      <c r="AB204" s="55"/>
      <c r="AC204" s="54">
        <f>Xray*'Plan Comparison Calculator'!$J$27</f>
        <v>0</v>
      </c>
      <c r="AD204" s="55"/>
      <c r="AE204" s="54"/>
      <c r="AF204" s="55"/>
      <c r="AG204" s="54"/>
      <c r="AH204" s="55"/>
    </row>
    <row r="205" spans="1:34" ht="15" x14ac:dyDescent="0.25">
      <c r="A205" s="213"/>
      <c r="B205" s="53"/>
      <c r="C205" s="54"/>
      <c r="D205" s="55"/>
      <c r="E205" s="54"/>
      <c r="F205" s="55"/>
      <c r="G205" s="54"/>
      <c r="H205" s="55"/>
      <c r="I205" s="54"/>
      <c r="J205" s="55"/>
      <c r="K205" s="54"/>
      <c r="L205" s="55"/>
      <c r="M205" s="52"/>
      <c r="N205" s="54"/>
      <c r="O205" s="55"/>
      <c r="P205" s="54"/>
      <c r="Q205" s="55"/>
      <c r="R205" s="54"/>
      <c r="S205" s="55"/>
      <c r="T205" s="54"/>
      <c r="U205" s="55"/>
      <c r="V205" s="54"/>
      <c r="W205" s="55"/>
      <c r="X205" s="52"/>
      <c r="Y205" s="54"/>
      <c r="Z205" s="55"/>
      <c r="AA205" s="54"/>
      <c r="AB205" s="55"/>
      <c r="AC205" s="54"/>
      <c r="AD205" s="55"/>
      <c r="AE205" s="54"/>
      <c r="AF205" s="55"/>
      <c r="AG205" s="54"/>
      <c r="AH205" s="55"/>
    </row>
    <row r="206" spans="1:34" ht="15" x14ac:dyDescent="0.25">
      <c r="A206" s="213"/>
      <c r="B206" s="53" t="s">
        <v>33</v>
      </c>
      <c r="C206" s="54"/>
      <c r="D206" s="55"/>
      <c r="E206" s="54"/>
      <c r="F206" s="55"/>
      <c r="G206" s="54">
        <f>CatScan*'Plan Comparison Calculator'!$G$29</f>
        <v>0</v>
      </c>
      <c r="H206" s="55"/>
      <c r="I206" s="54"/>
      <c r="J206" s="55"/>
      <c r="K206" s="54"/>
      <c r="L206" s="55"/>
      <c r="M206" s="52"/>
      <c r="N206" s="54"/>
      <c r="O206" s="55"/>
      <c r="P206" s="54"/>
      <c r="Q206" s="55"/>
      <c r="R206" s="54">
        <f>CatScan*'Plan Comparison Calculator'!$I$29</f>
        <v>0</v>
      </c>
      <c r="S206" s="55"/>
      <c r="T206" s="54"/>
      <c r="U206" s="55"/>
      <c r="V206" s="54"/>
      <c r="W206" s="55"/>
      <c r="X206" s="52"/>
      <c r="Y206" s="54"/>
      <c r="Z206" s="55"/>
      <c r="AA206" s="54"/>
      <c r="AB206" s="55"/>
      <c r="AC206" s="54">
        <f>CatScan*'Plan Comparison Calculator'!$J$29</f>
        <v>0</v>
      </c>
      <c r="AD206" s="55"/>
      <c r="AE206" s="54"/>
      <c r="AF206" s="55"/>
      <c r="AG206" s="54"/>
      <c r="AH206" s="55"/>
    </row>
    <row r="207" spans="1:34" ht="15" x14ac:dyDescent="0.25">
      <c r="A207" s="213"/>
      <c r="B207" s="53"/>
      <c r="C207" s="54"/>
      <c r="D207" s="55"/>
      <c r="E207" s="54"/>
      <c r="F207" s="55"/>
      <c r="G207" s="54"/>
      <c r="H207" s="55"/>
      <c r="I207" s="54"/>
      <c r="J207" s="55"/>
      <c r="K207" s="54"/>
      <c r="L207" s="55"/>
      <c r="M207" s="52"/>
      <c r="N207" s="54"/>
      <c r="O207" s="55"/>
      <c r="P207" s="54"/>
      <c r="Q207" s="55"/>
      <c r="R207" s="54"/>
      <c r="S207" s="55"/>
      <c r="T207" s="54"/>
      <c r="U207" s="55"/>
      <c r="V207" s="54"/>
      <c r="W207" s="55"/>
      <c r="X207" s="52"/>
      <c r="Y207" s="54"/>
      <c r="Z207" s="55"/>
      <c r="AA207" s="54"/>
      <c r="AB207" s="55"/>
      <c r="AC207" s="54"/>
      <c r="AD207" s="55"/>
      <c r="AE207" s="54"/>
      <c r="AF207" s="55"/>
      <c r="AG207" s="54"/>
      <c r="AH207" s="55"/>
    </row>
    <row r="208" spans="1:34" ht="15" x14ac:dyDescent="0.25">
      <c r="A208" s="213"/>
      <c r="B208" s="53" t="s">
        <v>34</v>
      </c>
      <c r="C208" s="54">
        <f>'Plan Comparison Calculator'!$G$31*P1_In_OP_Surgery_Copay</f>
        <v>0</v>
      </c>
      <c r="D208" s="55"/>
      <c r="E208" s="54"/>
      <c r="F208" s="55"/>
      <c r="G208" s="54"/>
      <c r="H208" s="55"/>
      <c r="I208" s="54">
        <f>Surgery_Facility*'Plan Comparison Calculator'!$G$31-C208</f>
        <v>0</v>
      </c>
      <c r="J208" s="55"/>
      <c r="K208" s="54">
        <f>Surgery_Physician*'Plan Comparison Calculator'!$G$31</f>
        <v>0</v>
      </c>
      <c r="L208" s="55"/>
      <c r="M208" s="52"/>
      <c r="N208" s="54">
        <f>'Plan Comparison Calculator'!$I$31*P1_In_OP_Surgery_Copay</f>
        <v>0</v>
      </c>
      <c r="O208" s="55"/>
      <c r="P208" s="54"/>
      <c r="Q208" s="55"/>
      <c r="R208" s="54"/>
      <c r="S208" s="55"/>
      <c r="T208" s="54">
        <f>Surgery_Facility*'Plan Comparison Calculator'!$I$31-N208</f>
        <v>0</v>
      </c>
      <c r="U208" s="55"/>
      <c r="V208" s="54">
        <f>Surgery_Physician*'Plan Comparison Calculator'!$I$31</f>
        <v>0</v>
      </c>
      <c r="W208" s="55"/>
      <c r="X208" s="52"/>
      <c r="Y208" s="54">
        <f>'Plan Comparison Calculator'!$J$31*P3_In_OP_Surgery_Copay</f>
        <v>0</v>
      </c>
      <c r="Z208" s="55"/>
      <c r="AA208" s="54"/>
      <c r="AB208" s="55"/>
      <c r="AC208" s="54"/>
      <c r="AD208" s="55"/>
      <c r="AE208" s="54">
        <f>Surgery_Facility*'Plan Comparison Calculator'!$J$31-Y208</f>
        <v>0</v>
      </c>
      <c r="AF208" s="55"/>
      <c r="AG208" s="54">
        <f>Surgery_Physician*'Plan Comparison Calculator'!$J$31</f>
        <v>0</v>
      </c>
      <c r="AH208" s="55"/>
    </row>
    <row r="209" spans="1:34" ht="15" x14ac:dyDescent="0.25">
      <c r="A209" s="213"/>
      <c r="B209" s="53"/>
      <c r="C209" s="54"/>
      <c r="D209" s="55"/>
      <c r="E209" s="54"/>
      <c r="F209" s="55"/>
      <c r="G209" s="54"/>
      <c r="H209" s="55"/>
      <c r="I209" s="54"/>
      <c r="J209" s="55"/>
      <c r="K209" s="54"/>
      <c r="L209" s="55"/>
      <c r="M209" s="52"/>
      <c r="N209" s="54"/>
      <c r="O209" s="55"/>
      <c r="P209" s="54"/>
      <c r="Q209" s="55"/>
      <c r="R209" s="54"/>
      <c r="S209" s="55"/>
      <c r="T209" s="54"/>
      <c r="U209" s="55"/>
      <c r="V209" s="54"/>
      <c r="W209" s="55"/>
      <c r="X209" s="52"/>
      <c r="Y209" s="54"/>
      <c r="Z209" s="55"/>
      <c r="AA209" s="54"/>
      <c r="AB209" s="55"/>
      <c r="AC209" s="54"/>
      <c r="AD209" s="55"/>
      <c r="AE209" s="54"/>
      <c r="AF209" s="55"/>
      <c r="AG209" s="54"/>
      <c r="AH209" s="55"/>
    </row>
    <row r="210" spans="1:34" ht="15" x14ac:dyDescent="0.25">
      <c r="A210" s="213"/>
      <c r="B210" s="53" t="s">
        <v>35</v>
      </c>
      <c r="C210" s="54">
        <f>'Plan Comparison Calculator'!$G$33*P1_In_IP_Hosp_Copay</f>
        <v>0</v>
      </c>
      <c r="D210" s="55"/>
      <c r="E210" s="54"/>
      <c r="F210" s="55"/>
      <c r="G210" s="54">
        <f>IP_XrayLab*'Plan Comparison Calculator'!$G$33</f>
        <v>0</v>
      </c>
      <c r="H210" s="55"/>
      <c r="I210" s="54">
        <f>IP_Facility*'Plan Comparison Calculator'!$G$33-C210</f>
        <v>0</v>
      </c>
      <c r="J210" s="55"/>
      <c r="K210" s="54">
        <f>IP_Physician*'Plan Comparison Calculator'!$G$33</f>
        <v>0</v>
      </c>
      <c r="L210" s="55"/>
      <c r="M210" s="52"/>
      <c r="N210" s="54">
        <f>'Plan Comparison Calculator'!$I$33*P1_In_IP_Hosp_Copay</f>
        <v>0</v>
      </c>
      <c r="O210" s="55"/>
      <c r="P210" s="54"/>
      <c r="Q210" s="55"/>
      <c r="R210" s="54">
        <f>IP_XrayLab*'Plan Comparison Calculator'!$I$33</f>
        <v>0</v>
      </c>
      <c r="S210" s="55"/>
      <c r="T210" s="54">
        <f>IP_Facility*'Plan Comparison Calculator'!$I$33-N210</f>
        <v>0</v>
      </c>
      <c r="U210" s="55"/>
      <c r="V210" s="54">
        <f>IP_Physician*'Plan Comparison Calculator'!$I$33</f>
        <v>0</v>
      </c>
      <c r="W210" s="55"/>
      <c r="X210" s="52"/>
      <c r="Y210" s="54">
        <f>'Plan Comparison Calculator'!$J$33*P3_In_IP_Hosp_Copay</f>
        <v>0</v>
      </c>
      <c r="Z210" s="55"/>
      <c r="AA210" s="54"/>
      <c r="AB210" s="55"/>
      <c r="AC210" s="54">
        <f>IP_XrayLab*'Plan Comparison Calculator'!$J$33</f>
        <v>0</v>
      </c>
      <c r="AD210" s="55"/>
      <c r="AE210" s="54">
        <f>IP_Facility*'Plan Comparison Calculator'!$J$33-Y210</f>
        <v>0</v>
      </c>
      <c r="AF210" s="55"/>
      <c r="AG210" s="54">
        <f>IP_Physician*'Plan Comparison Calculator'!$J$33</f>
        <v>0</v>
      </c>
      <c r="AH210" s="55"/>
    </row>
    <row r="211" spans="1:34" ht="15" x14ac:dyDescent="0.25">
      <c r="A211" s="213"/>
      <c r="B211" s="51"/>
      <c r="C211" s="54"/>
      <c r="D211" s="55"/>
      <c r="E211" s="54"/>
      <c r="F211" s="55"/>
      <c r="G211" s="54"/>
      <c r="H211" s="55"/>
      <c r="I211" s="54"/>
      <c r="J211" s="55"/>
      <c r="K211" s="54"/>
      <c r="L211" s="55"/>
      <c r="M211" s="52"/>
      <c r="N211" s="54"/>
      <c r="O211" s="55"/>
      <c r="P211" s="54"/>
      <c r="Q211" s="55"/>
      <c r="R211" s="54"/>
      <c r="S211" s="55"/>
      <c r="T211" s="54"/>
      <c r="U211" s="55"/>
      <c r="V211" s="54"/>
      <c r="W211" s="55"/>
      <c r="X211" s="52"/>
      <c r="Y211" s="54"/>
      <c r="Z211" s="55"/>
      <c r="AA211" s="54"/>
      <c r="AB211" s="55"/>
      <c r="AC211" s="54"/>
      <c r="AD211" s="55"/>
      <c r="AE211" s="54"/>
      <c r="AF211" s="55"/>
      <c r="AG211" s="54"/>
      <c r="AH211" s="55"/>
    </row>
    <row r="212" spans="1:34" ht="15" x14ac:dyDescent="0.25">
      <c r="A212" s="213"/>
      <c r="B212" s="51"/>
      <c r="C212" s="54"/>
      <c r="D212" s="55"/>
      <c r="E212" s="54"/>
      <c r="F212" s="55"/>
      <c r="G212" s="54"/>
      <c r="H212" s="55"/>
      <c r="I212" s="54"/>
      <c r="J212" s="55"/>
      <c r="K212" s="54"/>
      <c r="L212" s="55"/>
      <c r="M212" s="52"/>
      <c r="N212" s="54"/>
      <c r="O212" s="55"/>
      <c r="P212" s="54"/>
      <c r="Q212" s="55"/>
      <c r="R212" s="54"/>
      <c r="S212" s="55"/>
      <c r="T212" s="54"/>
      <c r="U212" s="55"/>
      <c r="V212" s="54"/>
      <c r="W212" s="55"/>
      <c r="X212" s="52"/>
      <c r="Y212" s="54"/>
      <c r="Z212" s="55"/>
      <c r="AA212" s="54"/>
      <c r="AB212" s="55"/>
      <c r="AC212" s="54"/>
      <c r="AD212" s="55"/>
      <c r="AE212" s="54"/>
      <c r="AF212" s="55"/>
      <c r="AG212" s="54"/>
      <c r="AH212" s="55"/>
    </row>
    <row r="213" spans="1:34" ht="15" x14ac:dyDescent="0.25">
      <c r="A213" s="213"/>
      <c r="B213" s="51"/>
      <c r="C213" s="54"/>
      <c r="D213" s="55"/>
      <c r="E213" s="54"/>
      <c r="F213" s="55"/>
      <c r="G213" s="54"/>
      <c r="H213" s="55"/>
      <c r="I213" s="54"/>
      <c r="J213" s="55"/>
      <c r="K213" s="54"/>
      <c r="L213" s="55"/>
      <c r="M213" s="52"/>
      <c r="N213" s="54"/>
      <c r="O213" s="55"/>
      <c r="P213" s="54"/>
      <c r="Q213" s="55"/>
      <c r="R213" s="54"/>
      <c r="S213" s="55"/>
      <c r="T213" s="54"/>
      <c r="U213" s="55"/>
      <c r="V213" s="54"/>
      <c r="W213" s="55"/>
      <c r="X213" s="52"/>
      <c r="Y213" s="54"/>
      <c r="Z213" s="55"/>
      <c r="AA213" s="54"/>
      <c r="AB213" s="55"/>
      <c r="AC213" s="54"/>
      <c r="AD213" s="55"/>
      <c r="AE213" s="54"/>
      <c r="AF213" s="55"/>
      <c r="AG213" s="54"/>
      <c r="AH213" s="55"/>
    </row>
    <row r="214" spans="1:34" ht="15" x14ac:dyDescent="0.25">
      <c r="A214" s="213"/>
      <c r="B214" s="51"/>
      <c r="C214" s="54">
        <f>SUM(C194:C210,C188)</f>
        <v>0</v>
      </c>
      <c r="D214" s="55"/>
      <c r="E214" s="54">
        <f>SUM(E196:E210,E188)</f>
        <v>0</v>
      </c>
      <c r="F214" s="55"/>
      <c r="G214" s="54">
        <f>MAX(SUM(G188:G206)-P1_In_LabMax,0)+SUM(G209:G210)</f>
        <v>0</v>
      </c>
      <c r="H214" s="55"/>
      <c r="I214" s="54">
        <f>SUM(I196:I210,I188)</f>
        <v>0</v>
      </c>
      <c r="J214" s="55"/>
      <c r="K214" s="54">
        <f>SUM(K196:K210,K188)</f>
        <v>0</v>
      </c>
      <c r="L214" s="55"/>
      <c r="M214" s="52"/>
      <c r="N214" s="54">
        <f>SUM(N194:N210,N188)</f>
        <v>0</v>
      </c>
      <c r="O214" s="55"/>
      <c r="P214" s="54">
        <f>SUM(P196:P210,P188)</f>
        <v>0</v>
      </c>
      <c r="Q214" s="55"/>
      <c r="R214" s="54">
        <f>MAX(SUM(R188:R206)-P1_In_LabMax,0)+SUM(R209:R210)</f>
        <v>0</v>
      </c>
      <c r="S214" s="55"/>
      <c r="T214" s="54">
        <f>SUM(T196:T210,T188)</f>
        <v>0</v>
      </c>
      <c r="U214" s="55"/>
      <c r="V214" s="54">
        <f>SUM(V196:V210,V188)</f>
        <v>0</v>
      </c>
      <c r="W214" s="55"/>
      <c r="X214" s="52"/>
      <c r="Y214" s="54">
        <f>SUM(Y194:Y210,Y188)</f>
        <v>0</v>
      </c>
      <c r="Z214" s="55"/>
      <c r="AA214" s="54">
        <f>SUM(AA196:AA210,AA188)</f>
        <v>0</v>
      </c>
      <c r="AB214" s="55"/>
      <c r="AC214" s="54">
        <f>MAX(SUM(AC188:AC206)-P3_In_LabMax,0)+SUM(AC209:AC210)</f>
        <v>0</v>
      </c>
      <c r="AD214" s="55"/>
      <c r="AE214" s="54">
        <f>SUM(AE196:AE210,AE188)</f>
        <v>0</v>
      </c>
      <c r="AF214" s="55"/>
      <c r="AG214" s="54">
        <f>SUM(AG196:AG210,AG188)</f>
        <v>0</v>
      </c>
      <c r="AH214" s="55"/>
    </row>
    <row r="215" spans="1:34" ht="14.25" x14ac:dyDescent="0.2">
      <c r="A215" s="213"/>
      <c r="B215" s="51"/>
      <c r="C215" s="19"/>
      <c r="D215" s="19"/>
      <c r="E215" s="19"/>
      <c r="F215" s="19"/>
      <c r="G215" s="19"/>
      <c r="H215" s="19"/>
      <c r="I215" s="19"/>
      <c r="J215" s="19"/>
      <c r="K215" s="19"/>
      <c r="L215" s="19"/>
      <c r="M215" s="52"/>
      <c r="N215" s="19"/>
      <c r="O215" s="19"/>
      <c r="P215" s="19"/>
      <c r="Q215" s="19"/>
      <c r="R215" s="19"/>
      <c r="S215" s="19"/>
      <c r="T215" s="19"/>
      <c r="U215" s="19"/>
      <c r="V215" s="19"/>
      <c r="W215" s="19"/>
      <c r="X215" s="52"/>
      <c r="Y215" s="19"/>
      <c r="Z215" s="19"/>
      <c r="AA215" s="19"/>
      <c r="AB215" s="19"/>
      <c r="AC215" s="19"/>
    </row>
    <row r="216" spans="1:34" ht="15" x14ac:dyDescent="0.25">
      <c r="A216" s="213"/>
      <c r="B216" s="51"/>
      <c r="C216" s="56" t="s">
        <v>36</v>
      </c>
      <c r="D216" s="19"/>
      <c r="E216" s="19"/>
      <c r="F216" s="19"/>
      <c r="G216" s="19"/>
      <c r="H216" s="19"/>
      <c r="I216" s="19"/>
      <c r="J216" s="19"/>
      <c r="K216" s="19"/>
      <c r="L216" s="19"/>
      <c r="M216" s="52"/>
      <c r="N216" s="19"/>
      <c r="O216" s="19"/>
      <c r="P216" s="19"/>
      <c r="Q216" s="19"/>
      <c r="R216" s="19"/>
      <c r="S216" s="19"/>
      <c r="T216" s="19"/>
      <c r="U216" s="19"/>
      <c r="V216" s="19"/>
      <c r="W216" s="19"/>
      <c r="X216" s="52"/>
      <c r="Y216" s="19"/>
      <c r="Z216" s="19"/>
      <c r="AA216" s="19"/>
      <c r="AB216" s="19"/>
      <c r="AC216" s="19"/>
    </row>
    <row r="217" spans="1:34" ht="14.25" x14ac:dyDescent="0.2">
      <c r="A217" s="213"/>
      <c r="B217" s="51"/>
      <c r="C217" s="57">
        <f>P1_In_Rx1*'Plan Comparison Calculator'!$F$39</f>
        <v>0</v>
      </c>
      <c r="D217" s="57"/>
      <c r="E217" s="19"/>
      <c r="F217" s="19"/>
      <c r="G217" s="19"/>
      <c r="H217" s="19"/>
      <c r="I217" s="19"/>
      <c r="J217" s="19"/>
      <c r="K217" s="19"/>
      <c r="L217" s="19"/>
      <c r="M217" s="52"/>
      <c r="N217" s="57"/>
      <c r="O217" s="57"/>
      <c r="P217" s="19"/>
      <c r="Q217" s="19"/>
      <c r="R217" s="19"/>
      <c r="S217" s="19"/>
      <c r="T217" s="19"/>
      <c r="U217" s="19"/>
      <c r="V217" s="19"/>
      <c r="W217" s="19"/>
      <c r="X217" s="52"/>
      <c r="Y217" s="57"/>
      <c r="Z217" s="19"/>
      <c r="AA217" s="19"/>
      <c r="AB217" s="19"/>
      <c r="AC217" s="19"/>
    </row>
    <row r="218" spans="1:34" ht="14.25" x14ac:dyDescent="0.2">
      <c r="A218" s="213"/>
      <c r="B218" s="51"/>
      <c r="C218" s="57">
        <f>P1_In_Rx2*'Plan Comparison Calculator'!$F$40</f>
        <v>0</v>
      </c>
      <c r="D218" s="57"/>
      <c r="E218" s="19"/>
      <c r="F218" s="19"/>
      <c r="G218" s="19"/>
      <c r="H218" s="19"/>
      <c r="I218" s="19"/>
      <c r="J218" s="19"/>
      <c r="K218" s="19"/>
      <c r="L218" s="19"/>
      <c r="M218" s="52"/>
      <c r="N218" s="57"/>
      <c r="O218" s="57"/>
      <c r="P218" s="19"/>
      <c r="Q218" s="19"/>
      <c r="R218" s="19"/>
      <c r="S218" s="19"/>
      <c r="T218" s="19"/>
      <c r="U218" s="19"/>
      <c r="V218" s="19"/>
      <c r="W218" s="19"/>
      <c r="X218" s="52"/>
      <c r="Y218" s="57"/>
      <c r="Z218" s="19"/>
      <c r="AA218" s="19"/>
      <c r="AB218" s="19"/>
      <c r="AC218" s="19"/>
    </row>
    <row r="219" spans="1:34" ht="14.25" x14ac:dyDescent="0.2">
      <c r="A219" s="213"/>
      <c r="B219" s="51"/>
      <c r="C219" s="57">
        <f>P1_In_Rx3*'Plan Comparison Calculator'!$F$41</f>
        <v>0</v>
      </c>
      <c r="D219" s="57"/>
      <c r="E219" s="19"/>
      <c r="F219" s="19"/>
      <c r="G219" s="19"/>
      <c r="H219" s="19"/>
      <c r="I219" s="19"/>
      <c r="J219" s="19"/>
      <c r="K219" s="19"/>
      <c r="L219" s="19"/>
      <c r="M219" s="52"/>
      <c r="N219" s="57"/>
      <c r="O219" s="57"/>
      <c r="P219" s="19"/>
      <c r="Q219" s="19"/>
      <c r="R219" s="19"/>
      <c r="S219" s="19"/>
      <c r="T219" s="19"/>
      <c r="U219" s="19"/>
      <c r="V219" s="19"/>
      <c r="W219" s="19"/>
      <c r="X219" s="52"/>
      <c r="Y219" s="57"/>
      <c r="Z219" s="19"/>
      <c r="AA219" s="19"/>
      <c r="AB219" s="19"/>
      <c r="AC219" s="19"/>
    </row>
    <row r="220" spans="1:34" ht="14.25" x14ac:dyDescent="0.2">
      <c r="A220" s="213"/>
      <c r="B220" s="51"/>
      <c r="C220" s="19"/>
      <c r="D220" s="19"/>
      <c r="E220" s="19"/>
      <c r="F220" s="19"/>
      <c r="G220" s="19"/>
      <c r="H220" s="19"/>
      <c r="I220" s="19"/>
      <c r="J220" s="19"/>
      <c r="K220" s="19"/>
      <c r="L220" s="19"/>
      <c r="M220" s="52"/>
      <c r="N220" s="16"/>
      <c r="O220" s="16"/>
      <c r="P220" s="16"/>
      <c r="Q220" s="16"/>
      <c r="R220" s="16"/>
      <c r="S220" s="16"/>
      <c r="T220" s="16"/>
      <c r="U220" s="16"/>
      <c r="V220" s="16"/>
      <c r="W220" s="16"/>
      <c r="X220" s="52"/>
      <c r="Y220" s="16"/>
      <c r="Z220" s="16"/>
      <c r="AA220" s="16"/>
      <c r="AB220" s="16"/>
      <c r="AC220" s="16"/>
    </row>
    <row r="221" spans="1:34" ht="15.75" x14ac:dyDescent="0.25">
      <c r="A221" s="213"/>
      <c r="B221" s="48"/>
      <c r="C221" s="58">
        <f>SUM(C217:C219)</f>
        <v>0</v>
      </c>
      <c r="D221" s="59"/>
      <c r="E221" s="60" t="s">
        <v>108</v>
      </c>
      <c r="F221" s="60"/>
      <c r="G221" s="61"/>
      <c r="H221" s="61"/>
      <c r="I221" s="61"/>
      <c r="J221" s="61"/>
      <c r="K221" s="61"/>
      <c r="L221" s="61"/>
      <c r="M221" s="50"/>
      <c r="N221" s="10"/>
      <c r="O221" s="10"/>
      <c r="P221" s="10"/>
      <c r="Q221" s="10"/>
      <c r="R221" s="10"/>
      <c r="S221" s="10"/>
      <c r="T221" s="10"/>
      <c r="U221" s="10"/>
      <c r="V221" s="10"/>
      <c r="W221" s="10"/>
      <c r="X221" s="50"/>
      <c r="Y221" s="10"/>
      <c r="Z221" s="10"/>
      <c r="AA221" s="10"/>
      <c r="AB221" s="10"/>
      <c r="AC221" s="10"/>
    </row>
    <row r="222" spans="1:34" ht="14.25" x14ac:dyDescent="0.2">
      <c r="A222" s="213"/>
      <c r="B222" s="51"/>
      <c r="C222" s="19">
        <f>IF($C$226&lt;P1_In_Deduct,SUMPRODUCT('Plan Comparison Calculator'!$F$39:$F$41,'Base Costs'!$C$31:$C$33),SUMPRODUCT('Plan Comparison Calculator'!$F$39:$F$41,'Plan Defn'!$B$27:$B$29))</f>
        <v>0</v>
      </c>
      <c r="D222" s="19"/>
      <c r="E222" s="139" t="s">
        <v>109</v>
      </c>
      <c r="F222" s="19"/>
      <c r="G222" s="19"/>
      <c r="H222" s="19"/>
      <c r="I222" s="19"/>
      <c r="J222" s="19"/>
      <c r="K222" s="19"/>
      <c r="L222" s="19"/>
      <c r="M222" s="52"/>
      <c r="N222" s="16"/>
      <c r="O222" s="16"/>
      <c r="P222" s="16"/>
      <c r="Q222" s="16"/>
      <c r="R222" s="16"/>
      <c r="S222" s="16"/>
      <c r="T222" s="16"/>
      <c r="U222" s="16"/>
      <c r="V222" s="16"/>
      <c r="W222" s="16"/>
      <c r="X222" s="52"/>
      <c r="Y222" s="16"/>
      <c r="Z222" s="16"/>
      <c r="AA222" s="16"/>
      <c r="AB222" s="16"/>
      <c r="AC222" s="16"/>
    </row>
    <row r="223" spans="1:34" ht="14.25" x14ac:dyDescent="0.2">
      <c r="A223" s="213"/>
      <c r="B223" s="51"/>
      <c r="C223" s="19">
        <f>IF($V$238&lt;P1_In_Deduct*P1_In_FamMult,SUMPRODUCT('Plan Comparison Calculator'!$F$39:$F$41,'Base Costs'!$C$31:$C$33),SUMPRODUCT('Plan Comparison Calculator'!$F$39:$F$41,'Plan Defn'!$B$27:$B$29))</f>
        <v>0</v>
      </c>
      <c r="D223" s="19"/>
      <c r="E223" s="139" t="s">
        <v>110</v>
      </c>
      <c r="F223" s="19"/>
      <c r="G223" s="19"/>
      <c r="H223" s="19"/>
      <c r="I223" s="19"/>
      <c r="J223" s="19"/>
      <c r="K223" s="19"/>
      <c r="L223" s="19"/>
      <c r="M223" s="52"/>
      <c r="N223" s="16"/>
      <c r="O223" s="16"/>
      <c r="P223" s="16"/>
      <c r="Q223" s="16"/>
      <c r="R223" s="16"/>
      <c r="S223" s="16"/>
      <c r="T223" s="16"/>
      <c r="U223" s="16"/>
      <c r="V223" s="16"/>
      <c r="W223" s="16"/>
      <c r="X223" s="52"/>
      <c r="Y223" s="16"/>
      <c r="Z223" s="16"/>
      <c r="AA223" s="16"/>
      <c r="AB223" s="16"/>
      <c r="AC223" s="16"/>
    </row>
    <row r="224" spans="1:34" ht="15.75" x14ac:dyDescent="0.25">
      <c r="A224" s="76"/>
      <c r="B224" s="62"/>
      <c r="C224" s="13"/>
      <c r="D224" s="13"/>
      <c r="E224" s="13"/>
      <c r="F224" s="13"/>
      <c r="G224" s="13"/>
      <c r="H224" s="13"/>
      <c r="I224" s="13"/>
      <c r="J224" s="13"/>
      <c r="K224" s="13"/>
      <c r="L224" s="13"/>
      <c r="M224" s="63"/>
      <c r="N224" s="12"/>
      <c r="O224" s="12"/>
      <c r="P224" s="12"/>
      <c r="Q224" s="12"/>
      <c r="R224" s="12"/>
      <c r="S224" s="12"/>
      <c r="T224" s="12"/>
      <c r="U224" s="12"/>
      <c r="V224" s="12"/>
      <c r="W224" s="12"/>
      <c r="X224" s="63"/>
      <c r="Y224" s="12"/>
      <c r="Z224" s="12"/>
      <c r="AA224" s="12"/>
      <c r="AB224" s="12"/>
      <c r="AC224" s="12"/>
    </row>
    <row r="225" spans="1:29" ht="15" x14ac:dyDescent="0.25">
      <c r="A225" s="76"/>
      <c r="B225" s="64"/>
      <c r="C225" s="65">
        <f>SUM(C214:D214)</f>
        <v>0</v>
      </c>
      <c r="D225" s="56"/>
      <c r="E225" s="60" t="s">
        <v>38</v>
      </c>
      <c r="F225" s="60"/>
      <c r="G225" s="56"/>
      <c r="H225" s="56"/>
      <c r="I225" s="56"/>
      <c r="J225" s="56"/>
      <c r="K225" s="56"/>
      <c r="L225" s="56"/>
      <c r="M225" s="66"/>
      <c r="N225" s="65">
        <f>SUM(N214:O214)*T$2</f>
        <v>0</v>
      </c>
      <c r="O225" s="56"/>
      <c r="P225" s="60" t="s">
        <v>38</v>
      </c>
      <c r="Q225" s="60"/>
      <c r="R225" s="32"/>
      <c r="S225" s="32"/>
      <c r="T225" s="32"/>
      <c r="U225" s="32"/>
      <c r="V225" s="32"/>
      <c r="W225" s="32"/>
      <c r="X225" s="66"/>
      <c r="Y225" s="65">
        <f>SUM(Y214:Z214)*AE$2</f>
        <v>0</v>
      </c>
      <c r="Z225" s="56"/>
      <c r="AA225" s="60" t="s">
        <v>38</v>
      </c>
      <c r="AB225" s="32"/>
      <c r="AC225" s="32"/>
    </row>
    <row r="226" spans="1:29" ht="15" x14ac:dyDescent="0.25">
      <c r="A226" s="76"/>
      <c r="B226" s="64"/>
      <c r="C226" s="54">
        <f>E214+G214+I214+K214</f>
        <v>0</v>
      </c>
      <c r="D226" s="56"/>
      <c r="E226" s="67" t="s">
        <v>39</v>
      </c>
      <c r="F226" s="60"/>
      <c r="G226" s="56"/>
      <c r="H226" s="56"/>
      <c r="I226" s="56"/>
      <c r="J226" s="56"/>
      <c r="K226" s="56"/>
      <c r="L226" s="56"/>
      <c r="M226" s="66"/>
      <c r="N226" s="54">
        <f>(P214+R214+T214+V214)*T$2</f>
        <v>0</v>
      </c>
      <c r="O226" s="56"/>
      <c r="P226" s="67" t="s">
        <v>39</v>
      </c>
      <c r="Q226" s="60"/>
      <c r="R226" s="32"/>
      <c r="S226" s="32"/>
      <c r="T226" s="32"/>
      <c r="U226" s="32"/>
      <c r="V226" s="32"/>
      <c r="W226" s="32"/>
      <c r="X226" s="66"/>
      <c r="Y226" s="54">
        <f>(AA214+AC214+AE214+AG214)*AE$2</f>
        <v>0</v>
      </c>
      <c r="Z226" s="56"/>
      <c r="AA226" s="67" t="s">
        <v>39</v>
      </c>
      <c r="AB226" s="32"/>
      <c r="AC226" s="32"/>
    </row>
    <row r="227" spans="1:29" ht="15" x14ac:dyDescent="0.25">
      <c r="A227" s="76"/>
      <c r="B227" s="64"/>
      <c r="C227" s="55"/>
      <c r="E227" s="68"/>
      <c r="F227" s="60"/>
      <c r="G227" s="56"/>
      <c r="H227" s="56"/>
      <c r="I227" s="56"/>
      <c r="J227" s="56"/>
      <c r="K227" s="56"/>
      <c r="L227" s="56"/>
      <c r="M227" s="66"/>
      <c r="N227" s="55"/>
      <c r="P227" s="68"/>
      <c r="Q227" s="60"/>
      <c r="R227" s="32"/>
      <c r="S227" s="32"/>
      <c r="T227" s="32"/>
      <c r="U227" s="32"/>
      <c r="V227" s="32"/>
      <c r="W227" s="32"/>
      <c r="X227" s="66"/>
      <c r="Y227" s="55"/>
      <c r="AA227" s="68"/>
      <c r="AB227" s="32"/>
      <c r="AC227" s="32"/>
    </row>
    <row r="228" spans="1:29" ht="15" x14ac:dyDescent="0.25">
      <c r="A228" s="76"/>
      <c r="B228" s="64"/>
      <c r="C228" s="54">
        <f>E214+G214+I214+K214</f>
        <v>0</v>
      </c>
      <c r="D228" s="56"/>
      <c r="E228" s="67" t="s">
        <v>40</v>
      </c>
      <c r="F228" s="60"/>
      <c r="G228" s="56"/>
      <c r="H228" s="56"/>
      <c r="I228" s="56"/>
      <c r="J228" s="56"/>
      <c r="K228" s="56"/>
      <c r="L228" s="56"/>
      <c r="M228" s="66"/>
      <c r="N228" s="54">
        <f>(P214+R214+T214+V214)*T$2</f>
        <v>0</v>
      </c>
      <c r="O228" s="56"/>
      <c r="P228" s="67" t="s">
        <v>40</v>
      </c>
      <c r="Q228" s="60"/>
      <c r="R228" s="32"/>
      <c r="S228" s="32"/>
      <c r="T228" s="32"/>
      <c r="U228" s="32"/>
      <c r="V228" s="32"/>
      <c r="W228" s="32"/>
      <c r="X228" s="66"/>
      <c r="Y228" s="54">
        <f>(AA214+AC214+AE214+AG214)*AE$2</f>
        <v>0</v>
      </c>
      <c r="Z228" s="56"/>
      <c r="AA228" s="67" t="s">
        <v>40</v>
      </c>
      <c r="AB228" s="32"/>
      <c r="AC228" s="32"/>
    </row>
    <row r="229" spans="1:29" ht="15" x14ac:dyDescent="0.25">
      <c r="A229" s="76"/>
      <c r="B229" s="64"/>
      <c r="C229" s="55"/>
      <c r="D229" s="56"/>
      <c r="E229" s="68"/>
      <c r="F229" s="32"/>
      <c r="G229" s="56"/>
      <c r="H229" s="56"/>
      <c r="I229" s="56"/>
      <c r="J229" s="56"/>
      <c r="K229" s="56"/>
      <c r="L229" s="56"/>
      <c r="M229" s="66"/>
      <c r="N229" s="55"/>
      <c r="O229" s="56"/>
      <c r="P229" s="68"/>
      <c r="Q229" s="32"/>
      <c r="R229" s="32"/>
      <c r="S229" s="32"/>
      <c r="T229" s="32"/>
      <c r="U229" s="32"/>
      <c r="V229" s="32"/>
      <c r="W229" s="32"/>
      <c r="X229" s="66"/>
      <c r="Y229" s="55"/>
      <c r="Z229" s="56"/>
      <c r="AA229" s="68"/>
      <c r="AB229" s="32"/>
      <c r="AC229" s="32"/>
    </row>
    <row r="230" spans="1:29" ht="15" x14ac:dyDescent="0.25">
      <c r="A230" s="76"/>
      <c r="B230" s="64"/>
      <c r="F230" s="60"/>
      <c r="G230" s="56"/>
      <c r="H230" s="56"/>
      <c r="I230" s="56"/>
      <c r="J230" s="56"/>
      <c r="K230" s="56"/>
      <c r="L230" s="56"/>
      <c r="M230" s="66"/>
      <c r="Q230" s="60"/>
      <c r="R230" s="32"/>
      <c r="S230" s="32"/>
      <c r="T230" s="32"/>
      <c r="U230" s="32"/>
      <c r="V230" s="32"/>
      <c r="W230" s="32"/>
      <c r="X230" s="66"/>
      <c r="AB230" s="32"/>
      <c r="AC230" s="32"/>
    </row>
    <row r="231" spans="1:29" ht="15" x14ac:dyDescent="0.25">
      <c r="A231" s="76"/>
      <c r="B231" s="64"/>
      <c r="C231" s="54">
        <f>MIN(C226,P1_In_Deduct)</f>
        <v>0</v>
      </c>
      <c r="D231" s="56"/>
      <c r="E231" s="69" t="s">
        <v>41</v>
      </c>
      <c r="G231" s="19"/>
      <c r="H231" s="19"/>
      <c r="I231" s="19"/>
      <c r="J231" s="19"/>
      <c r="K231" s="19"/>
      <c r="L231" s="19"/>
      <c r="M231" s="16"/>
      <c r="N231" s="54">
        <f>MIN(N226,P1_In_Deduct)</f>
        <v>0</v>
      </c>
      <c r="O231" s="56"/>
      <c r="P231" s="69" t="s">
        <v>41</v>
      </c>
      <c r="Q231" s="16"/>
      <c r="R231" s="16"/>
      <c r="S231" s="16"/>
      <c r="T231" s="16"/>
      <c r="U231" s="16"/>
      <c r="V231" s="16"/>
      <c r="W231" s="16"/>
      <c r="X231" s="16"/>
      <c r="Y231" s="54">
        <f>MIN(Y226,P1_In_Deduct)</f>
        <v>0</v>
      </c>
      <c r="Z231" s="56"/>
      <c r="AA231" s="69" t="s">
        <v>41</v>
      </c>
      <c r="AB231" s="16"/>
      <c r="AC231" s="16"/>
    </row>
    <row r="232" spans="1:29" ht="15" x14ac:dyDescent="0.25">
      <c r="A232" s="76"/>
      <c r="B232" s="64"/>
      <c r="C232" s="55"/>
      <c r="E232" s="70"/>
      <c r="G232" s="19"/>
      <c r="H232" s="19"/>
      <c r="I232" s="19"/>
      <c r="J232" s="19"/>
      <c r="K232" s="19"/>
      <c r="L232" s="19"/>
      <c r="M232" s="16"/>
      <c r="N232" s="55"/>
      <c r="P232" s="70"/>
      <c r="Q232" s="16"/>
      <c r="R232" s="16"/>
      <c r="S232" s="16"/>
      <c r="W232" s="56"/>
      <c r="X232" s="16"/>
      <c r="Y232" s="55"/>
      <c r="AA232" s="70"/>
      <c r="AB232" s="16"/>
      <c r="AC232" s="16"/>
    </row>
    <row r="233" spans="1:29" ht="15" x14ac:dyDescent="0.25">
      <c r="A233" s="76"/>
      <c r="B233" s="64"/>
      <c r="C233" s="55"/>
      <c r="E233" s="70"/>
      <c r="G233" s="19"/>
      <c r="H233" s="19"/>
      <c r="I233" s="19"/>
      <c r="J233" s="19"/>
      <c r="K233" s="19"/>
      <c r="L233" s="19"/>
      <c r="M233" s="16"/>
      <c r="N233" s="55"/>
      <c r="P233" s="70"/>
      <c r="Q233" s="16"/>
      <c r="R233" s="16"/>
      <c r="S233" s="16"/>
      <c r="W233" s="56"/>
      <c r="X233" s="16"/>
      <c r="Y233" s="55"/>
      <c r="AA233" s="70"/>
      <c r="AB233" s="16"/>
      <c r="AC233" s="16"/>
    </row>
    <row r="234" spans="1:29" ht="15" x14ac:dyDescent="0.25">
      <c r="A234" s="76"/>
      <c r="B234" s="64"/>
      <c r="C234" s="54">
        <f>MIN((C228-C231)*(1-P1_In_Coins),P1_In_OOPMax)</f>
        <v>0</v>
      </c>
      <c r="D234" s="56"/>
      <c r="E234" s="67" t="s">
        <v>42</v>
      </c>
      <c r="F234" s="19"/>
      <c r="G234" s="19"/>
      <c r="H234" s="19"/>
      <c r="I234" s="19"/>
      <c r="J234" s="19"/>
      <c r="K234" s="19"/>
      <c r="L234" s="19"/>
      <c r="M234" s="16"/>
      <c r="N234" s="54">
        <f>(N228-N231)*(1-P1_In_Coins)</f>
        <v>0</v>
      </c>
      <c r="O234" s="56"/>
      <c r="P234" s="67" t="s">
        <v>42</v>
      </c>
      <c r="Q234" s="16"/>
      <c r="R234" s="16"/>
      <c r="S234" s="16"/>
      <c r="W234" s="56"/>
      <c r="X234" s="16"/>
      <c r="Y234" s="54">
        <f>IF(Y228&gt;=Y231,MIN((Y228-Y231)*(1-P1_In_Coins),P1_In_OOPMax),0)</f>
        <v>0</v>
      </c>
      <c r="Z234" s="56"/>
      <c r="AA234" s="67" t="s">
        <v>42</v>
      </c>
      <c r="AB234" s="16"/>
      <c r="AC234" s="16"/>
    </row>
    <row r="235" spans="1:29" ht="15.75" x14ac:dyDescent="0.25">
      <c r="A235" s="76"/>
      <c r="B235" s="64"/>
      <c r="C235" s="55"/>
      <c r="D235" s="13"/>
      <c r="E235" s="68"/>
      <c r="F235" s="13"/>
      <c r="G235" s="13"/>
      <c r="H235" s="13"/>
      <c r="I235" s="13"/>
      <c r="J235" s="13"/>
      <c r="K235" s="13"/>
      <c r="L235" s="13"/>
      <c r="M235" s="12"/>
      <c r="N235" s="55"/>
      <c r="O235" s="13"/>
      <c r="P235" s="68"/>
      <c r="Q235" s="12"/>
      <c r="R235" s="12"/>
      <c r="S235" s="12"/>
      <c r="T235" s="71"/>
      <c r="U235" s="71"/>
      <c r="V235" s="12"/>
      <c r="W235" s="12"/>
      <c r="X235" s="12"/>
      <c r="Y235" s="55"/>
      <c r="Z235" s="13"/>
      <c r="AA235" s="68"/>
      <c r="AB235" s="12"/>
      <c r="AC235" s="12"/>
    </row>
    <row r="236" spans="1:29" ht="15" x14ac:dyDescent="0.25">
      <c r="A236" s="76"/>
      <c r="B236" s="64"/>
      <c r="C236" s="19"/>
      <c r="D236" s="19"/>
      <c r="E236" s="19"/>
      <c r="F236" s="19"/>
      <c r="G236" s="19"/>
      <c r="H236" s="19"/>
      <c r="I236" s="19"/>
      <c r="J236" s="19"/>
      <c r="K236" s="19"/>
      <c r="L236" s="19"/>
      <c r="M236" s="16"/>
      <c r="N236" s="16"/>
      <c r="O236" s="16"/>
      <c r="P236" s="16"/>
      <c r="Q236" s="16"/>
      <c r="R236" s="16"/>
      <c r="S236" s="16"/>
      <c r="T236" s="72"/>
      <c r="U236" s="72"/>
      <c r="V236" s="16"/>
      <c r="W236" s="16"/>
      <c r="X236" s="16"/>
      <c r="Y236" s="16"/>
      <c r="Z236" s="16"/>
      <c r="AA236" s="16"/>
      <c r="AB236" s="16"/>
      <c r="AC236" s="16"/>
    </row>
    <row r="237" spans="1:29" ht="15" x14ac:dyDescent="0.25">
      <c r="A237" s="76"/>
      <c r="B237" s="64"/>
      <c r="C237" s="132"/>
      <c r="D237" s="126" t="s">
        <v>90</v>
      </c>
      <c r="E237" s="127" t="s">
        <v>91</v>
      </c>
      <c r="F237" s="127" t="s">
        <v>92</v>
      </c>
      <c r="G237" s="132"/>
      <c r="H237" s="132"/>
      <c r="I237" s="132"/>
      <c r="J237" s="132"/>
      <c r="K237" s="132"/>
      <c r="L237" s="132"/>
      <c r="M237" s="16"/>
      <c r="N237" s="16"/>
      <c r="O237" s="16"/>
      <c r="P237" s="16"/>
      <c r="Q237" s="16"/>
      <c r="R237" s="16"/>
      <c r="S237" s="16"/>
      <c r="T237" s="16"/>
      <c r="U237" s="16"/>
      <c r="V237" s="16"/>
      <c r="W237" s="16"/>
      <c r="X237" s="16"/>
      <c r="Y237" s="16"/>
      <c r="Z237" s="16"/>
      <c r="AA237" s="16"/>
      <c r="AB237" s="16"/>
      <c r="AC237" s="16"/>
    </row>
    <row r="238" spans="1:29" ht="15.75" x14ac:dyDescent="0.25">
      <c r="A238" s="76"/>
      <c r="B238" s="64"/>
      <c r="C238" s="126" t="s">
        <v>1</v>
      </c>
      <c r="D238" s="133">
        <f t="shared" ref="D238:D243" si="4">IF(F238&lt;E238,F238,E238)</f>
        <v>0</v>
      </c>
      <c r="E238" s="135">
        <f>'Plan Defn'!$B9</f>
        <v>3500</v>
      </c>
      <c r="F238" s="136">
        <f t="shared" ref="F238:F243" si="5">SUM(L$238:L$241)</f>
        <v>0</v>
      </c>
      <c r="G238" s="127" t="s">
        <v>93</v>
      </c>
      <c r="H238" s="46"/>
      <c r="I238" s="46"/>
      <c r="J238" s="46"/>
      <c r="K238" s="126" t="s">
        <v>94</v>
      </c>
      <c r="L238" s="134">
        <f>V238</f>
        <v>0</v>
      </c>
      <c r="M238" s="12"/>
      <c r="N238" s="12"/>
      <c r="O238" s="12"/>
      <c r="P238" s="12"/>
      <c r="Q238" s="12"/>
      <c r="R238" s="12"/>
      <c r="S238" s="12"/>
      <c r="T238" s="73" t="s">
        <v>43</v>
      </c>
      <c r="U238" s="73"/>
      <c r="V238" s="140">
        <f>IF('Plan Comparison Calculator'!F5="Employee Only",MIN((C231+N231+Y231),('Plan Defn'!B9)),MIN((C231+N231+Y231),('Plan Defn'!B10)))</f>
        <v>0</v>
      </c>
      <c r="W238" s="12"/>
      <c r="X238" s="12"/>
      <c r="Y238" s="12"/>
      <c r="Z238" s="12"/>
      <c r="AA238" s="12"/>
      <c r="AB238" s="12"/>
      <c r="AC238" s="12"/>
    </row>
    <row r="239" spans="1:29" ht="15" x14ac:dyDescent="0.25">
      <c r="A239" s="76"/>
      <c r="B239" s="64"/>
      <c r="C239" s="126" t="s">
        <v>78</v>
      </c>
      <c r="D239" s="133">
        <f>IF(F239&lt;E239,F239,E239)</f>
        <v>0</v>
      </c>
      <c r="E239" s="135">
        <f>'Plan Defn'!B$10</f>
        <v>7000</v>
      </c>
      <c r="F239" s="136">
        <f>SUM(L$238:L$241)</f>
        <v>0</v>
      </c>
      <c r="G239" s="127" t="s">
        <v>93</v>
      </c>
      <c r="H239" s="132"/>
      <c r="I239" s="132"/>
      <c r="J239" s="132"/>
      <c r="K239" s="126" t="s">
        <v>95</v>
      </c>
      <c r="L239" s="134">
        <f>V241</f>
        <v>0</v>
      </c>
      <c r="M239" s="16"/>
      <c r="N239" s="16"/>
      <c r="O239" s="16"/>
      <c r="P239" s="16"/>
      <c r="Q239" s="16"/>
      <c r="R239" s="16"/>
      <c r="S239" s="16"/>
      <c r="T239" s="73" t="s">
        <v>49</v>
      </c>
      <c r="V239" s="74"/>
      <c r="W239" s="16"/>
      <c r="X239" s="16"/>
      <c r="Y239" s="16"/>
      <c r="Z239" s="16"/>
      <c r="AA239" s="16"/>
      <c r="AB239" s="16"/>
      <c r="AC239" s="16"/>
    </row>
    <row r="240" spans="1:29" ht="15" x14ac:dyDescent="0.25">
      <c r="A240" s="76"/>
      <c r="B240" s="64"/>
      <c r="C240" s="126" t="s">
        <v>79</v>
      </c>
      <c r="D240" s="133">
        <f>IF(F240&lt;E240,F240,E240)</f>
        <v>0</v>
      </c>
      <c r="E240" s="135">
        <f>'Plan Defn'!B$10</f>
        <v>7000</v>
      </c>
      <c r="F240" s="136">
        <f t="shared" si="5"/>
        <v>0</v>
      </c>
      <c r="G240" s="127" t="s">
        <v>93</v>
      </c>
      <c r="H240" s="132"/>
      <c r="I240" s="132"/>
      <c r="J240" s="132"/>
      <c r="K240" s="126" t="s">
        <v>96</v>
      </c>
      <c r="L240" s="134">
        <f>SUM(C214,N214,Y214)</f>
        <v>0</v>
      </c>
      <c r="M240" s="16"/>
      <c r="N240" s="16"/>
      <c r="O240" s="16"/>
      <c r="P240" s="16"/>
      <c r="Q240" s="16"/>
      <c r="R240" s="16"/>
      <c r="S240" s="16"/>
      <c r="T240" s="16"/>
      <c r="U240" s="16"/>
      <c r="V240" s="16"/>
      <c r="W240" s="16"/>
      <c r="X240" s="16"/>
      <c r="Y240" s="16"/>
      <c r="Z240" s="16"/>
      <c r="AA240" s="16"/>
      <c r="AB240" s="16"/>
      <c r="AC240" s="16"/>
    </row>
    <row r="241" spans="1:29" ht="15.75" x14ac:dyDescent="0.25">
      <c r="A241" s="76"/>
      <c r="B241" s="64"/>
      <c r="C241" s="126" t="s">
        <v>80</v>
      </c>
      <c r="D241" s="133">
        <f t="shared" si="4"/>
        <v>0</v>
      </c>
      <c r="E241" s="135">
        <f>'Plan Defn'!B$10</f>
        <v>7000</v>
      </c>
      <c r="F241" s="136">
        <f t="shared" si="5"/>
        <v>0</v>
      </c>
      <c r="G241" s="127" t="s">
        <v>93</v>
      </c>
      <c r="H241" s="46"/>
      <c r="I241" s="46"/>
      <c r="J241" s="46"/>
      <c r="K241" s="126" t="s">
        <v>97</v>
      </c>
      <c r="L241" s="134">
        <f>IF('Plan Comparison Calculator'!F5="Employee Only",'OOP Calc'!C222,'OOP Calc'!C223)</f>
        <v>0</v>
      </c>
      <c r="M241" s="12"/>
      <c r="N241" s="12"/>
      <c r="O241" s="12"/>
      <c r="P241" s="12"/>
      <c r="Q241" s="12"/>
      <c r="R241" s="12"/>
      <c r="S241" s="12"/>
      <c r="T241" s="73" t="s">
        <v>44</v>
      </c>
      <c r="U241" s="73"/>
      <c r="V241" s="140">
        <f>IF('Plan Comparison Calculator'!F5="Employee Only",MIN((C234+N234+Y234),('Plan Defn'!B9)),MIN((C234+N234+Y234),('Plan Defn'!B10)))</f>
        <v>0</v>
      </c>
      <c r="W241" s="12"/>
      <c r="X241" s="12"/>
      <c r="Y241" s="12"/>
      <c r="Z241" s="12"/>
      <c r="AA241" s="12"/>
      <c r="AB241" s="12"/>
      <c r="AC241" s="12"/>
    </row>
    <row r="242" spans="1:29" ht="15" x14ac:dyDescent="0.25">
      <c r="A242" s="76"/>
      <c r="B242" s="64"/>
      <c r="C242" s="126" t="s">
        <v>81</v>
      </c>
      <c r="D242" s="133">
        <f t="shared" si="4"/>
        <v>0</v>
      </c>
      <c r="E242" s="135">
        <f>'Plan Defn'!B$10</f>
        <v>7000</v>
      </c>
      <c r="F242" s="136">
        <f t="shared" si="5"/>
        <v>0</v>
      </c>
      <c r="G242" s="127" t="s">
        <v>93</v>
      </c>
      <c r="H242" s="132"/>
      <c r="I242" s="132"/>
      <c r="J242" s="132"/>
      <c r="K242" s="132"/>
      <c r="L242" s="132"/>
      <c r="M242" s="16"/>
      <c r="N242" s="16"/>
      <c r="O242" s="16"/>
      <c r="P242" s="16"/>
      <c r="Q242" s="16"/>
      <c r="R242" s="16"/>
      <c r="S242" s="16"/>
      <c r="T242" s="73" t="s">
        <v>50</v>
      </c>
      <c r="U242" s="16"/>
      <c r="V242" s="65"/>
      <c r="W242" s="16"/>
      <c r="X242" s="16"/>
      <c r="Y242" s="16"/>
      <c r="Z242" s="16"/>
      <c r="AA242" s="16"/>
      <c r="AB242" s="16"/>
      <c r="AC242" s="16"/>
    </row>
    <row r="243" spans="1:29" x14ac:dyDescent="0.2">
      <c r="C243" s="126" t="s">
        <v>82</v>
      </c>
      <c r="D243" s="133">
        <f t="shared" si="4"/>
        <v>0</v>
      </c>
      <c r="E243" s="135">
        <f>'Plan Defn'!B$10</f>
        <v>7000</v>
      </c>
      <c r="F243" s="136">
        <f t="shared" si="5"/>
        <v>0</v>
      </c>
      <c r="G243" s="127" t="s">
        <v>93</v>
      </c>
      <c r="H243" s="132"/>
      <c r="I243" s="132"/>
      <c r="J243" s="132"/>
      <c r="K243" s="132"/>
      <c r="L243" s="132"/>
    </row>
  </sheetData>
  <mergeCells count="142">
    <mergeCell ref="A198:A223"/>
    <mergeCell ref="T186:U186"/>
    <mergeCell ref="V186:W186"/>
    <mergeCell ref="Y186:Z186"/>
    <mergeCell ref="AA186:AB186"/>
    <mergeCell ref="AC186:AD186"/>
    <mergeCell ref="AE186:AF186"/>
    <mergeCell ref="C186:D186"/>
    <mergeCell ref="E186:F186"/>
    <mergeCell ref="G186:H186"/>
    <mergeCell ref="I186:J186"/>
    <mergeCell ref="K186:L186"/>
    <mergeCell ref="N186:O186"/>
    <mergeCell ref="P186:Q186"/>
    <mergeCell ref="R186:S186"/>
    <mergeCell ref="AG186:AH186"/>
    <mergeCell ref="C184:K184"/>
    <mergeCell ref="N184:V184"/>
    <mergeCell ref="Y184:AH184"/>
    <mergeCell ref="C185:D185"/>
    <mergeCell ref="E185:F185"/>
    <mergeCell ref="G185:H185"/>
    <mergeCell ref="I185:J185"/>
    <mergeCell ref="K185:L185"/>
    <mergeCell ref="N185:O185"/>
    <mergeCell ref="P185:Q185"/>
    <mergeCell ref="R185:S185"/>
    <mergeCell ref="T185:U185"/>
    <mergeCell ref="V185:W185"/>
    <mergeCell ref="Y185:Z185"/>
    <mergeCell ref="AA185:AB185"/>
    <mergeCell ref="AC185:AD185"/>
    <mergeCell ref="AE185:AF185"/>
    <mergeCell ref="AG185:AH185"/>
    <mergeCell ref="B1:B2"/>
    <mergeCell ref="E66:F66"/>
    <mergeCell ref="G66:H66"/>
    <mergeCell ref="I66:J66"/>
    <mergeCell ref="C66:D66"/>
    <mergeCell ref="C6:D6"/>
    <mergeCell ref="G6:H6"/>
    <mergeCell ref="R66:S66"/>
    <mergeCell ref="N66:O66"/>
    <mergeCell ref="P66:Q66"/>
    <mergeCell ref="K66:L66"/>
    <mergeCell ref="C65:D65"/>
    <mergeCell ref="E65:F65"/>
    <mergeCell ref="G65:H65"/>
    <mergeCell ref="I65:J65"/>
    <mergeCell ref="N65:O65"/>
    <mergeCell ref="P65:Q65"/>
    <mergeCell ref="N5:O5"/>
    <mergeCell ref="N64:V64"/>
    <mergeCell ref="C64:K64"/>
    <mergeCell ref="AA5:AB5"/>
    <mergeCell ref="E6:F6"/>
    <mergeCell ref="AE2:AE3"/>
    <mergeCell ref="C1:K2"/>
    <mergeCell ref="AA2:AD3"/>
    <mergeCell ref="P5:Q5"/>
    <mergeCell ref="R5:S5"/>
    <mergeCell ref="AC5:AD5"/>
    <mergeCell ref="AE5:AF5"/>
    <mergeCell ref="V5:W5"/>
    <mergeCell ref="Y5:Z5"/>
    <mergeCell ref="I6:J6"/>
    <mergeCell ref="K5:L5"/>
    <mergeCell ref="Y6:Z6"/>
    <mergeCell ref="AA6:AB6"/>
    <mergeCell ref="K6:L6"/>
    <mergeCell ref="N6:O6"/>
    <mergeCell ref="P6:Q6"/>
    <mergeCell ref="R6:S6"/>
    <mergeCell ref="AC6:AD6"/>
    <mergeCell ref="AE6:AF6"/>
    <mergeCell ref="A10:A36"/>
    <mergeCell ref="T6:U6"/>
    <mergeCell ref="AC66:AD66"/>
    <mergeCell ref="AE66:AF66"/>
    <mergeCell ref="AG65:AH65"/>
    <mergeCell ref="Y64:AH64"/>
    <mergeCell ref="V65:W65"/>
    <mergeCell ref="T65:U65"/>
    <mergeCell ref="P2:S3"/>
    <mergeCell ref="T2:T3"/>
    <mergeCell ref="C4:K4"/>
    <mergeCell ref="N4:V4"/>
    <mergeCell ref="AG5:AH5"/>
    <mergeCell ref="V66:W66"/>
    <mergeCell ref="T66:U66"/>
    <mergeCell ref="AG66:AH66"/>
    <mergeCell ref="Y66:Z66"/>
    <mergeCell ref="AA66:AB66"/>
    <mergeCell ref="T5:U5"/>
    <mergeCell ref="G5:H5"/>
    <mergeCell ref="I5:J5"/>
    <mergeCell ref="Y4:AH4"/>
    <mergeCell ref="C5:D5"/>
    <mergeCell ref="E5:F5"/>
    <mergeCell ref="AG6:AH6"/>
    <mergeCell ref="Y65:Z65"/>
    <mergeCell ref="AA65:AB65"/>
    <mergeCell ref="AC65:AD65"/>
    <mergeCell ref="AE65:AF65"/>
    <mergeCell ref="AG126:AH126"/>
    <mergeCell ref="T125:U125"/>
    <mergeCell ref="V125:W125"/>
    <mergeCell ref="Y126:Z126"/>
    <mergeCell ref="AA126:AB126"/>
    <mergeCell ref="AC126:AD126"/>
    <mergeCell ref="AG125:AH125"/>
    <mergeCell ref="Y124:AH124"/>
    <mergeCell ref="N124:V124"/>
    <mergeCell ref="V6:W6"/>
    <mergeCell ref="N125:O125"/>
    <mergeCell ref="N126:O126"/>
    <mergeCell ref="P126:Q126"/>
    <mergeCell ref="V126:W126"/>
    <mergeCell ref="R65:S65"/>
    <mergeCell ref="A138:A163"/>
    <mergeCell ref="AE126:AF126"/>
    <mergeCell ref="Y125:Z125"/>
    <mergeCell ref="AA125:AB125"/>
    <mergeCell ref="AC125:AD125"/>
    <mergeCell ref="AE125:AF125"/>
    <mergeCell ref="P125:Q125"/>
    <mergeCell ref="R125:S125"/>
    <mergeCell ref="C126:D126"/>
    <mergeCell ref="C125:D125"/>
    <mergeCell ref="E125:F125"/>
    <mergeCell ref="G125:H125"/>
    <mergeCell ref="K125:L125"/>
    <mergeCell ref="A78:A103"/>
    <mergeCell ref="K65:L65"/>
    <mergeCell ref="R126:S126"/>
    <mergeCell ref="T126:U126"/>
    <mergeCell ref="I125:J125"/>
    <mergeCell ref="E126:F126"/>
    <mergeCell ref="G126:H126"/>
    <mergeCell ref="I126:J126"/>
    <mergeCell ref="K126:L126"/>
    <mergeCell ref="C124:K124"/>
  </mergeCells>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N53"/>
  <sheetViews>
    <sheetView workbookViewId="0">
      <selection activeCell="B45" sqref="B45"/>
    </sheetView>
  </sheetViews>
  <sheetFormatPr defaultRowHeight="12.75" x14ac:dyDescent="0.2"/>
  <cols>
    <col min="1" max="1" width="34.42578125" style="77" bestFit="1" customWidth="1"/>
    <col min="2" max="3" width="23.5703125" style="1" customWidth="1"/>
    <col min="4" max="4" width="4" style="1" customWidth="1"/>
    <col min="5" max="5" width="23.5703125" style="1" customWidth="1"/>
    <col min="6" max="6" width="23.5703125" customWidth="1"/>
    <col min="7" max="7" width="4.85546875" customWidth="1"/>
    <col min="8" max="9" width="23.5703125" customWidth="1"/>
    <col min="12" max="12" width="9.5703125" bestFit="1" customWidth="1"/>
    <col min="13" max="14" width="10.5703125" bestFit="1" customWidth="1"/>
  </cols>
  <sheetData>
    <row r="1" spans="1:9" ht="27" thickBot="1" x14ac:dyDescent="0.45">
      <c r="B1" s="226" t="s">
        <v>51</v>
      </c>
      <c r="C1" s="226"/>
      <c r="D1" s="226"/>
      <c r="E1" s="226"/>
      <c r="F1" s="226"/>
      <c r="H1" s="181"/>
    </row>
    <row r="2" spans="1:9" ht="12.75" customHeight="1" x14ac:dyDescent="0.25">
      <c r="A2" s="77" t="s">
        <v>52</v>
      </c>
      <c r="B2" s="220" t="s">
        <v>142</v>
      </c>
      <c r="C2" s="221"/>
      <c r="D2" s="224"/>
      <c r="E2" s="220" t="s">
        <v>142</v>
      </c>
      <c r="F2" s="221"/>
      <c r="G2" s="78"/>
      <c r="H2" s="220" t="s">
        <v>142</v>
      </c>
      <c r="I2" s="221"/>
    </row>
    <row r="3" spans="1:9" ht="12.75" customHeight="1" x14ac:dyDescent="0.25">
      <c r="A3" s="77" t="s">
        <v>53</v>
      </c>
      <c r="B3" s="222" t="s">
        <v>129</v>
      </c>
      <c r="C3" s="223"/>
      <c r="D3" s="224"/>
      <c r="E3" s="222" t="s">
        <v>100</v>
      </c>
      <c r="F3" s="223"/>
      <c r="G3" s="78"/>
      <c r="H3" s="222" t="s">
        <v>138</v>
      </c>
      <c r="I3" s="223"/>
    </row>
    <row r="4" spans="1:9" ht="8.25" customHeight="1" x14ac:dyDescent="0.2">
      <c r="B4" s="79"/>
      <c r="C4" s="80"/>
      <c r="D4" s="81"/>
      <c r="E4" s="79"/>
      <c r="F4" s="82"/>
      <c r="H4" s="79"/>
      <c r="I4" s="82"/>
    </row>
    <row r="5" spans="1:9" ht="15" customHeight="1" x14ac:dyDescent="0.25">
      <c r="B5" s="83" t="s">
        <v>54</v>
      </c>
      <c r="C5" s="84" t="s">
        <v>55</v>
      </c>
      <c r="D5" s="78"/>
      <c r="E5" s="83" t="s">
        <v>54</v>
      </c>
      <c r="F5" s="84" t="s">
        <v>55</v>
      </c>
      <c r="G5" s="78"/>
      <c r="H5" s="83" t="s">
        <v>54</v>
      </c>
      <c r="I5" s="84" t="s">
        <v>55</v>
      </c>
    </row>
    <row r="6" spans="1:9" x14ac:dyDescent="0.2">
      <c r="A6" s="77" t="s">
        <v>56</v>
      </c>
      <c r="B6" s="85">
        <v>1750</v>
      </c>
      <c r="C6" s="87"/>
      <c r="D6" s="86"/>
      <c r="E6" s="85">
        <v>750</v>
      </c>
      <c r="F6" s="87">
        <v>750</v>
      </c>
      <c r="G6" s="88"/>
      <c r="H6" s="85">
        <v>500</v>
      </c>
      <c r="I6" s="87"/>
    </row>
    <row r="7" spans="1:9" x14ac:dyDescent="0.2">
      <c r="A7" s="77" t="s">
        <v>57</v>
      </c>
      <c r="B7" s="79">
        <v>2</v>
      </c>
      <c r="C7" s="90"/>
      <c r="D7" s="89"/>
      <c r="E7" s="79">
        <v>2</v>
      </c>
      <c r="F7" s="90">
        <v>2</v>
      </c>
      <c r="G7" s="91"/>
      <c r="H7" s="79">
        <v>2</v>
      </c>
      <c r="I7" s="90"/>
    </row>
    <row r="8" spans="1:9" x14ac:dyDescent="0.2">
      <c r="A8" s="77" t="s">
        <v>58</v>
      </c>
      <c r="B8" s="85">
        <v>3500</v>
      </c>
      <c r="C8" s="87"/>
      <c r="D8" s="86"/>
      <c r="E8" s="85">
        <v>3000</v>
      </c>
      <c r="F8" s="87">
        <v>3000</v>
      </c>
      <c r="G8" s="88"/>
      <c r="H8" s="85">
        <f>H9</f>
        <v>3000</v>
      </c>
      <c r="I8" s="87"/>
    </row>
    <row r="9" spans="1:9" x14ac:dyDescent="0.2">
      <c r="A9" s="128" t="s">
        <v>98</v>
      </c>
      <c r="B9" s="129">
        <v>3500</v>
      </c>
      <c r="C9" s="129"/>
      <c r="D9" s="129"/>
      <c r="E9" s="129">
        <v>3000</v>
      </c>
      <c r="F9" s="129">
        <v>3000</v>
      </c>
      <c r="G9" s="130"/>
      <c r="H9" s="129">
        <v>3000</v>
      </c>
      <c r="I9" s="131"/>
    </row>
    <row r="10" spans="1:9" x14ac:dyDescent="0.2">
      <c r="A10" s="128" t="s">
        <v>99</v>
      </c>
      <c r="B10" s="129">
        <v>7000</v>
      </c>
      <c r="C10" s="129"/>
      <c r="D10" s="129"/>
      <c r="E10" s="129">
        <v>6000</v>
      </c>
      <c r="F10" s="129">
        <v>6000</v>
      </c>
      <c r="G10" s="130"/>
      <c r="H10" s="129">
        <v>6000</v>
      </c>
      <c r="I10" s="131"/>
    </row>
    <row r="11" spans="1:9" x14ac:dyDescent="0.2">
      <c r="A11" s="77" t="s">
        <v>139</v>
      </c>
      <c r="B11" s="85">
        <v>0</v>
      </c>
      <c r="C11" s="87"/>
      <c r="D11" s="86"/>
      <c r="E11" s="85">
        <v>0</v>
      </c>
      <c r="F11" s="87">
        <v>0</v>
      </c>
      <c r="G11" s="88"/>
      <c r="H11" s="85">
        <v>20</v>
      </c>
      <c r="I11" s="87"/>
    </row>
    <row r="12" spans="1:9" x14ac:dyDescent="0.2">
      <c r="A12" s="77" t="s">
        <v>140</v>
      </c>
      <c r="B12" s="85"/>
      <c r="C12" s="87"/>
      <c r="D12" s="88"/>
      <c r="E12" s="85"/>
      <c r="F12" s="87"/>
      <c r="G12" s="88"/>
      <c r="H12" s="85">
        <v>40</v>
      </c>
      <c r="I12" s="87"/>
    </row>
    <row r="13" spans="1:9" x14ac:dyDescent="0.2">
      <c r="A13" s="77" t="s">
        <v>59</v>
      </c>
      <c r="B13" s="92"/>
      <c r="C13" s="94"/>
      <c r="D13" s="93"/>
      <c r="E13" s="92"/>
      <c r="F13" s="94"/>
      <c r="G13" s="95"/>
      <c r="H13" s="92"/>
      <c r="I13" s="94"/>
    </row>
    <row r="14" spans="1:9" x14ac:dyDescent="0.2">
      <c r="A14" s="77" t="s">
        <v>60</v>
      </c>
      <c r="B14" s="92"/>
      <c r="C14" s="94"/>
      <c r="D14" s="93"/>
      <c r="E14" s="92"/>
      <c r="F14" s="94"/>
      <c r="G14" s="95"/>
      <c r="H14" s="92"/>
      <c r="I14" s="94"/>
    </row>
    <row r="15" spans="1:9" x14ac:dyDescent="0.2">
      <c r="A15" s="77" t="s">
        <v>61</v>
      </c>
      <c r="B15" s="96">
        <v>0.8</v>
      </c>
      <c r="C15" s="98"/>
      <c r="D15" s="97"/>
      <c r="E15" s="96">
        <v>0.9</v>
      </c>
      <c r="F15" s="98">
        <v>0.7</v>
      </c>
      <c r="G15" s="99"/>
      <c r="H15" s="96">
        <v>0.8</v>
      </c>
      <c r="I15" s="98"/>
    </row>
    <row r="16" spans="1:9" ht="6.75" customHeight="1" x14ac:dyDescent="0.2">
      <c r="B16" s="85"/>
      <c r="C16" s="87"/>
      <c r="D16" s="88"/>
      <c r="E16" s="85"/>
      <c r="F16" s="87"/>
      <c r="G16" s="88"/>
      <c r="H16" s="85"/>
      <c r="I16" s="87"/>
    </row>
    <row r="17" spans="1:9" x14ac:dyDescent="0.2">
      <c r="A17" s="77" t="s">
        <v>62</v>
      </c>
      <c r="B17" s="85">
        <v>0</v>
      </c>
      <c r="C17" s="87"/>
      <c r="D17" s="86"/>
      <c r="E17" s="85">
        <v>150</v>
      </c>
      <c r="F17" s="87">
        <v>150</v>
      </c>
      <c r="G17" s="88"/>
      <c r="H17" s="85">
        <v>200</v>
      </c>
      <c r="I17" s="87"/>
    </row>
    <row r="18" spans="1:9" ht="12.75" customHeight="1" x14ac:dyDescent="0.2">
      <c r="A18" s="77" t="s">
        <v>63</v>
      </c>
      <c r="B18" s="85">
        <v>0</v>
      </c>
      <c r="C18" s="87"/>
      <c r="D18" s="86"/>
      <c r="E18" s="85">
        <v>0</v>
      </c>
      <c r="F18" s="87">
        <v>0</v>
      </c>
      <c r="G18" s="88"/>
      <c r="H18" s="85">
        <v>0</v>
      </c>
      <c r="I18" s="87"/>
    </row>
    <row r="19" spans="1:9" ht="12.75" customHeight="1" x14ac:dyDescent="0.2">
      <c r="A19" s="77" t="s">
        <v>64</v>
      </c>
      <c r="B19" s="85">
        <v>0</v>
      </c>
      <c r="C19" s="87"/>
      <c r="D19" s="86"/>
      <c r="E19" s="85">
        <v>0</v>
      </c>
      <c r="F19" s="87">
        <v>0</v>
      </c>
      <c r="G19" s="88"/>
      <c r="H19" s="85">
        <v>0</v>
      </c>
      <c r="I19" s="87"/>
    </row>
    <row r="20" spans="1:9" ht="12.75" customHeight="1" x14ac:dyDescent="0.2">
      <c r="A20" s="77" t="s">
        <v>65</v>
      </c>
      <c r="B20" s="85">
        <v>0</v>
      </c>
      <c r="C20" s="87"/>
      <c r="D20" s="86"/>
      <c r="E20" s="85">
        <v>0</v>
      </c>
      <c r="F20" s="87">
        <v>0</v>
      </c>
      <c r="G20" s="88"/>
      <c r="H20" s="85">
        <v>20</v>
      </c>
      <c r="I20" s="87"/>
    </row>
    <row r="21" spans="1:9" x14ac:dyDescent="0.2">
      <c r="A21" s="77" t="s">
        <v>66</v>
      </c>
      <c r="B21" s="96">
        <v>0.8</v>
      </c>
      <c r="C21" s="98"/>
      <c r="D21" s="97"/>
      <c r="E21" s="96">
        <v>0.9</v>
      </c>
      <c r="F21" s="98">
        <v>0.7</v>
      </c>
      <c r="G21" s="99"/>
      <c r="H21" s="96">
        <v>0.8</v>
      </c>
      <c r="I21" s="98"/>
    </row>
    <row r="22" spans="1:9" x14ac:dyDescent="0.2">
      <c r="A22" s="77" t="s">
        <v>67</v>
      </c>
      <c r="B22" s="85">
        <v>0</v>
      </c>
      <c r="C22" s="87"/>
      <c r="D22" s="86"/>
      <c r="E22" s="85">
        <v>0</v>
      </c>
      <c r="F22" s="87">
        <v>0</v>
      </c>
      <c r="G22" s="88"/>
      <c r="H22" s="85">
        <v>0</v>
      </c>
      <c r="I22" s="87"/>
    </row>
    <row r="23" spans="1:9" x14ac:dyDescent="0.2">
      <c r="A23" s="77" t="s">
        <v>68</v>
      </c>
      <c r="B23" s="100"/>
      <c r="C23" s="102"/>
      <c r="D23" s="101"/>
      <c r="E23" s="100"/>
      <c r="F23" s="102"/>
      <c r="G23" s="93"/>
      <c r="H23" s="100"/>
      <c r="I23" s="102"/>
    </row>
    <row r="24" spans="1:9" x14ac:dyDescent="0.2">
      <c r="A24" s="77" t="s">
        <v>69</v>
      </c>
      <c r="B24" s="100"/>
      <c r="C24" s="102"/>
      <c r="D24" s="101"/>
      <c r="E24" s="100"/>
      <c r="F24" s="102"/>
      <c r="G24" s="95"/>
      <c r="H24" s="100"/>
      <c r="I24" s="102"/>
    </row>
    <row r="25" spans="1:9" ht="6" customHeight="1" x14ac:dyDescent="0.2">
      <c r="B25" s="79"/>
      <c r="C25" s="90"/>
      <c r="D25" s="81"/>
      <c r="E25" s="79"/>
      <c r="F25" s="90"/>
      <c r="G25" s="47"/>
      <c r="H25" s="79"/>
      <c r="I25" s="90"/>
    </row>
    <row r="26" spans="1:9" x14ac:dyDescent="0.2">
      <c r="A26" s="77" t="s">
        <v>70</v>
      </c>
      <c r="B26" s="103"/>
      <c r="C26" s="105"/>
      <c r="D26" s="104"/>
      <c r="E26" s="103"/>
      <c r="F26" s="105"/>
      <c r="G26" s="95"/>
      <c r="H26" s="103"/>
      <c r="I26" s="105"/>
    </row>
    <row r="27" spans="1:9" x14ac:dyDescent="0.2">
      <c r="A27" s="77" t="s">
        <v>71</v>
      </c>
      <c r="B27" s="85">
        <v>15</v>
      </c>
      <c r="C27" s="87"/>
      <c r="D27" s="106"/>
      <c r="E27" s="85">
        <v>15</v>
      </c>
      <c r="F27" s="87"/>
      <c r="G27" s="88"/>
      <c r="H27" s="85">
        <v>15</v>
      </c>
      <c r="I27" s="87"/>
    </row>
    <row r="28" spans="1:9" x14ac:dyDescent="0.2">
      <c r="A28" s="77" t="s">
        <v>72</v>
      </c>
      <c r="B28" s="85">
        <v>30</v>
      </c>
      <c r="C28" s="87"/>
      <c r="D28" s="106"/>
      <c r="E28" s="85">
        <v>25</v>
      </c>
      <c r="F28" s="87"/>
      <c r="G28" s="88"/>
      <c r="H28" s="85">
        <v>35</v>
      </c>
      <c r="I28" s="87"/>
    </row>
    <row r="29" spans="1:9" ht="13.5" thickBot="1" x14ac:dyDescent="0.25">
      <c r="A29" s="77" t="s">
        <v>73</v>
      </c>
      <c r="B29" s="109">
        <v>30</v>
      </c>
      <c r="C29" s="109"/>
      <c r="D29" s="107"/>
      <c r="E29" s="108">
        <v>45</v>
      </c>
      <c r="F29" s="109"/>
      <c r="G29" s="88"/>
      <c r="H29" s="108">
        <v>150</v>
      </c>
      <c r="I29" s="109"/>
    </row>
    <row r="30" spans="1:9" ht="6" customHeight="1" x14ac:dyDescent="0.2"/>
    <row r="31" spans="1:9" ht="6" customHeight="1" x14ac:dyDescent="0.2"/>
    <row r="32" spans="1:9" x14ac:dyDescent="0.2">
      <c r="B32" s="104"/>
      <c r="C32" s="104"/>
      <c r="D32" s="104"/>
      <c r="E32" s="110" t="s">
        <v>74</v>
      </c>
    </row>
    <row r="33" spans="1:14" ht="6" customHeight="1" x14ac:dyDescent="0.2"/>
    <row r="34" spans="1:14" ht="18.75" customHeight="1" x14ac:dyDescent="0.2">
      <c r="A34" s="189" t="s">
        <v>144</v>
      </c>
      <c r="B34" s="225" t="s">
        <v>75</v>
      </c>
      <c r="C34" s="225"/>
      <c r="D34" s="225"/>
      <c r="E34" s="225"/>
      <c r="G34" s="77" t="s">
        <v>4</v>
      </c>
      <c r="H34" s="1" t="s">
        <v>76</v>
      </c>
      <c r="I34" s="182"/>
    </row>
    <row r="35" spans="1:14" ht="18.75" customHeight="1" x14ac:dyDescent="0.2">
      <c r="B35" s="81" t="str">
        <f>CONCATENATE(P1_Carrier," - ",P1_Plan)</f>
        <v>Kaiser - HSA HMO</v>
      </c>
      <c r="C35" s="81" t="str">
        <f>CONCATENATE(P2_Carrier," - ",P2_Plan)</f>
        <v>Kaiser - Access PPO</v>
      </c>
      <c r="D35" s="81"/>
      <c r="E35" s="81" t="str">
        <f>CONCATENATE(P2_Carrier," - ",P3_Plan)</f>
        <v>Kaiser - Virtual Plus Plan</v>
      </c>
      <c r="G35" s="77" t="s">
        <v>77</v>
      </c>
      <c r="H35" s="1" t="s">
        <v>77</v>
      </c>
    </row>
    <row r="36" spans="1:14" ht="15" x14ac:dyDescent="0.2">
      <c r="A36" s="111" t="s">
        <v>1</v>
      </c>
      <c r="B36" s="188">
        <v>35</v>
      </c>
      <c r="C36" s="188">
        <v>140</v>
      </c>
      <c r="D36" s="188"/>
      <c r="E36" s="188">
        <v>50</v>
      </c>
      <c r="G36" s="1">
        <v>0</v>
      </c>
      <c r="H36" s="1">
        <v>0</v>
      </c>
      <c r="L36" s="144"/>
      <c r="M36" s="144"/>
      <c r="N36" s="144"/>
    </row>
    <row r="37" spans="1:14" ht="15" x14ac:dyDescent="0.2">
      <c r="A37" s="111" t="s">
        <v>78</v>
      </c>
      <c r="B37" s="188">
        <v>305</v>
      </c>
      <c r="C37" s="188">
        <v>978</v>
      </c>
      <c r="D37" s="188"/>
      <c r="E37" s="188">
        <v>445</v>
      </c>
      <c r="G37" s="1">
        <v>1</v>
      </c>
      <c r="H37" s="1">
        <v>0</v>
      </c>
      <c r="I37" s="144"/>
      <c r="L37" s="144"/>
      <c r="M37" s="144"/>
      <c r="N37" s="144"/>
    </row>
    <row r="38" spans="1:14" ht="15" x14ac:dyDescent="0.2">
      <c r="A38" s="111" t="s">
        <v>82</v>
      </c>
      <c r="B38" s="188">
        <v>70</v>
      </c>
      <c r="C38" s="188">
        <v>530</v>
      </c>
      <c r="D38" s="188"/>
      <c r="E38" s="188">
        <v>147</v>
      </c>
      <c r="G38" s="1">
        <v>1</v>
      </c>
      <c r="H38" s="1">
        <v>1</v>
      </c>
      <c r="I38" s="144"/>
      <c r="J38" s="144"/>
      <c r="L38" s="144"/>
      <c r="M38" s="144"/>
      <c r="N38" s="144"/>
    </row>
    <row r="39" spans="1:14" ht="15" x14ac:dyDescent="0.2">
      <c r="A39" s="111" t="s">
        <v>80</v>
      </c>
      <c r="B39" s="188">
        <v>335</v>
      </c>
      <c r="C39" s="188">
        <v>1020</v>
      </c>
      <c r="D39" s="188"/>
      <c r="E39" s="188">
        <v>464</v>
      </c>
      <c r="G39" s="1">
        <v>1</v>
      </c>
      <c r="H39" s="1">
        <v>1</v>
      </c>
      <c r="I39" s="144"/>
      <c r="J39" s="144"/>
      <c r="L39" s="144"/>
      <c r="M39" s="144"/>
      <c r="N39" s="144"/>
    </row>
    <row r="40" spans="1:14" x14ac:dyDescent="0.2">
      <c r="G40" s="1">
        <v>0</v>
      </c>
      <c r="H40" s="1">
        <v>1</v>
      </c>
      <c r="I40" s="144"/>
      <c r="L40" s="144"/>
      <c r="M40" s="144"/>
      <c r="N40" s="144"/>
    </row>
    <row r="41" spans="1:14" x14ac:dyDescent="0.2">
      <c r="B41" s="138" t="s">
        <v>83</v>
      </c>
      <c r="C41" s="81"/>
      <c r="D41" s="81"/>
      <c r="E41" s="138" t="s">
        <v>102</v>
      </c>
      <c r="G41" s="1"/>
      <c r="H41" s="1"/>
      <c r="I41" s="144"/>
      <c r="L41" s="144"/>
      <c r="M41" s="144"/>
      <c r="N41" s="144"/>
    </row>
    <row r="42" spans="1:14" x14ac:dyDescent="0.2">
      <c r="B42" s="81" t="s">
        <v>84</v>
      </c>
      <c r="C42" s="81"/>
      <c r="D42" s="81"/>
      <c r="E42" s="81" t="s">
        <v>84</v>
      </c>
    </row>
    <row r="43" spans="1:14" ht="15" x14ac:dyDescent="0.2">
      <c r="A43" s="111" t="s">
        <v>1</v>
      </c>
      <c r="B43" s="190">
        <f>65*12</f>
        <v>780</v>
      </c>
      <c r="C43" s="113"/>
      <c r="D43" s="113"/>
      <c r="E43" s="113"/>
    </row>
    <row r="44" spans="1:14" ht="15" x14ac:dyDescent="0.2">
      <c r="A44" s="111" t="s">
        <v>78</v>
      </c>
      <c r="B44" s="190">
        <f>130*12</f>
        <v>1560</v>
      </c>
      <c r="C44" s="113"/>
      <c r="D44" s="113"/>
      <c r="E44" s="113"/>
    </row>
    <row r="45" spans="1:14" ht="15" x14ac:dyDescent="0.2">
      <c r="A45" s="111" t="s">
        <v>82</v>
      </c>
      <c r="B45" s="190">
        <f>130*12</f>
        <v>1560</v>
      </c>
      <c r="C45" s="113"/>
      <c r="D45" s="113"/>
      <c r="E45" s="113"/>
    </row>
    <row r="46" spans="1:14" ht="15" x14ac:dyDescent="0.2">
      <c r="A46" s="111" t="s">
        <v>80</v>
      </c>
      <c r="B46" s="190">
        <f>130*12</f>
        <v>1560</v>
      </c>
      <c r="C46" s="113"/>
      <c r="D46" s="113"/>
      <c r="E46" s="113"/>
    </row>
    <row r="49" spans="1:5" ht="15" x14ac:dyDescent="0.2">
      <c r="A49" s="111" t="s">
        <v>1</v>
      </c>
      <c r="B49" s="113">
        <f>B38-B36</f>
        <v>35</v>
      </c>
      <c r="C49" s="113">
        <f>C38-C36</f>
        <v>390</v>
      </c>
      <c r="D49" s="113"/>
      <c r="E49" s="113">
        <f>E38-E36</f>
        <v>97</v>
      </c>
    </row>
    <row r="50" spans="1:5" ht="15" x14ac:dyDescent="0.2">
      <c r="A50" s="111" t="s">
        <v>78</v>
      </c>
      <c r="B50" s="113">
        <f>B39-B37</f>
        <v>30</v>
      </c>
      <c r="C50" s="113">
        <f>C39-C37</f>
        <v>42</v>
      </c>
      <c r="D50" s="113"/>
      <c r="E50" s="113">
        <f>E39-E37</f>
        <v>19</v>
      </c>
    </row>
    <row r="51" spans="1:5" ht="15" x14ac:dyDescent="0.2">
      <c r="A51" s="111" t="s">
        <v>82</v>
      </c>
      <c r="B51" s="113">
        <v>0</v>
      </c>
      <c r="C51" s="113">
        <v>0</v>
      </c>
      <c r="D51" s="113"/>
      <c r="E51" s="113">
        <v>0</v>
      </c>
    </row>
    <row r="52" spans="1:5" ht="15" x14ac:dyDescent="0.2">
      <c r="A52" s="111" t="s">
        <v>80</v>
      </c>
      <c r="B52" s="113">
        <v>0</v>
      </c>
      <c r="C52" s="113">
        <v>0</v>
      </c>
      <c r="D52" s="113"/>
      <c r="E52" s="113">
        <v>0</v>
      </c>
    </row>
    <row r="53" spans="1:5" x14ac:dyDescent="0.2">
      <c r="A53"/>
      <c r="B53"/>
      <c r="C53"/>
      <c r="D53"/>
      <c r="E53"/>
    </row>
  </sheetData>
  <mergeCells count="9">
    <mergeCell ref="H2:I2"/>
    <mergeCell ref="H3:I3"/>
    <mergeCell ref="D2:D3"/>
    <mergeCell ref="B34:E34"/>
    <mergeCell ref="B1:F1"/>
    <mergeCell ref="E2:F2"/>
    <mergeCell ref="E3:F3"/>
    <mergeCell ref="B2:C2"/>
    <mergeCell ref="B3:C3"/>
  </mergeCells>
  <phoneticPr fontId="2" type="noConversion"/>
  <pageMargins left="0.75" right="0.75" top="1" bottom="1" header="0.5" footer="0.5"/>
  <pageSetup scale="67" orientation="landscape" verticalDpi="1200"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38"/>
  <sheetViews>
    <sheetView workbookViewId="0">
      <selection activeCell="H42" sqref="H42"/>
    </sheetView>
  </sheetViews>
  <sheetFormatPr defaultRowHeight="12.75" x14ac:dyDescent="0.2"/>
  <cols>
    <col min="1" max="1" width="32.85546875" bestFit="1" customWidth="1"/>
    <col min="2" max="2" width="3.5703125" customWidth="1"/>
    <col min="3" max="3" width="10.42578125" bestFit="1" customWidth="1"/>
    <col min="4" max="4" width="12.5703125" customWidth="1"/>
    <col min="5" max="5" width="12.5703125" bestFit="1" customWidth="1"/>
    <col min="6" max="6" width="11" bestFit="1" customWidth="1"/>
    <col min="8" max="8" width="9.140625" bestFit="1" customWidth="1"/>
    <col min="10" max="10" width="10.42578125" bestFit="1" customWidth="1"/>
    <col min="11" max="11" width="12.5703125" customWidth="1"/>
    <col min="12" max="12" width="12.5703125" bestFit="1" customWidth="1"/>
    <col min="13" max="13" width="11" bestFit="1" customWidth="1"/>
  </cols>
  <sheetData>
    <row r="1" spans="1:13" x14ac:dyDescent="0.2">
      <c r="A1" s="121" t="s">
        <v>145</v>
      </c>
      <c r="C1" s="1"/>
      <c r="D1" s="1"/>
      <c r="E1" s="1"/>
      <c r="F1" s="1"/>
      <c r="G1" s="114"/>
      <c r="J1" s="1"/>
      <c r="K1" s="1"/>
      <c r="L1" s="1"/>
      <c r="M1" s="1"/>
    </row>
    <row r="2" spans="1:13" ht="15.75" x14ac:dyDescent="0.25">
      <c r="C2" s="214" t="s">
        <v>85</v>
      </c>
      <c r="D2" s="214"/>
      <c r="E2" s="214"/>
      <c r="F2" s="214"/>
      <c r="G2" s="48"/>
      <c r="J2" s="214"/>
      <c r="K2" s="214"/>
      <c r="L2" s="214"/>
      <c r="M2" s="214"/>
    </row>
    <row r="3" spans="1:13" ht="30" x14ac:dyDescent="0.2">
      <c r="C3" s="61" t="s">
        <v>19</v>
      </c>
      <c r="D3" s="115" t="s">
        <v>20</v>
      </c>
      <c r="E3" s="61" t="s">
        <v>21</v>
      </c>
      <c r="F3" s="61" t="s">
        <v>22</v>
      </c>
      <c r="G3" s="48"/>
      <c r="J3" s="61"/>
      <c r="K3" s="115"/>
      <c r="L3" s="61"/>
      <c r="M3" s="61"/>
    </row>
    <row r="4" spans="1:13" ht="14.25" x14ac:dyDescent="0.2">
      <c r="C4" s="139"/>
      <c r="D4" s="139"/>
      <c r="E4" s="139"/>
      <c r="F4" s="139"/>
      <c r="G4" s="174"/>
      <c r="J4" s="139"/>
      <c r="K4" s="139"/>
      <c r="L4" s="139"/>
      <c r="M4" s="139"/>
    </row>
    <row r="5" spans="1:13" ht="14.25" x14ac:dyDescent="0.2">
      <c r="C5" s="139"/>
      <c r="D5" s="139"/>
      <c r="E5" s="139"/>
      <c r="F5" s="139"/>
      <c r="G5" s="174"/>
      <c r="J5" s="139"/>
      <c r="K5" s="139"/>
      <c r="L5" s="139"/>
      <c r="M5" s="139"/>
    </row>
    <row r="6" spans="1:13" ht="14.25" x14ac:dyDescent="0.2">
      <c r="A6" s="121" t="s">
        <v>87</v>
      </c>
      <c r="C6" s="142">
        <v>1000</v>
      </c>
      <c r="D6" s="142">
        <v>900</v>
      </c>
      <c r="E6" s="177">
        <v>16682.255374466662</v>
      </c>
      <c r="F6" s="177">
        <v>3656.5978444050606</v>
      </c>
      <c r="G6" s="174"/>
      <c r="J6" s="142"/>
      <c r="K6" s="142"/>
      <c r="L6" s="177"/>
      <c r="M6" s="177"/>
    </row>
    <row r="7" spans="1:13" ht="3.75" customHeight="1" x14ac:dyDescent="0.2">
      <c r="C7" s="142"/>
      <c r="D7" s="142"/>
      <c r="E7" s="142"/>
      <c r="F7" s="142"/>
      <c r="G7" s="174"/>
      <c r="J7" s="142"/>
      <c r="K7" s="142"/>
      <c r="L7" s="142"/>
      <c r="M7" s="142"/>
    </row>
    <row r="8" spans="1:13" ht="14.25" customHeight="1" x14ac:dyDescent="0.2">
      <c r="A8" s="121" t="s">
        <v>88</v>
      </c>
      <c r="C8" s="142"/>
      <c r="D8" s="142"/>
      <c r="E8" s="142">
        <v>1200</v>
      </c>
      <c r="F8" s="142">
        <v>400</v>
      </c>
      <c r="G8" s="174"/>
      <c r="J8" s="142"/>
      <c r="K8" s="142"/>
      <c r="L8" s="142"/>
      <c r="M8" s="142"/>
    </row>
    <row r="9" spans="1:13" ht="3.75" customHeight="1" x14ac:dyDescent="0.2">
      <c r="C9" s="175"/>
      <c r="D9" s="175"/>
      <c r="E9" s="175"/>
      <c r="F9" s="175"/>
      <c r="G9" s="174"/>
      <c r="J9" s="175"/>
      <c r="K9" s="175"/>
      <c r="L9" s="175"/>
      <c r="M9" s="175"/>
    </row>
    <row r="10" spans="1:13" ht="3.75" customHeight="1" x14ac:dyDescent="0.2">
      <c r="C10" s="175"/>
      <c r="D10" s="175"/>
      <c r="E10" s="175"/>
      <c r="F10" s="175"/>
      <c r="G10" s="174"/>
      <c r="J10" s="175"/>
      <c r="K10" s="175"/>
      <c r="L10" s="175"/>
      <c r="M10" s="175"/>
    </row>
    <row r="11" spans="1:13" ht="3.75" customHeight="1" x14ac:dyDescent="0.2">
      <c r="C11" s="175"/>
      <c r="D11" s="175"/>
      <c r="E11" s="175"/>
      <c r="F11" s="175"/>
      <c r="G11" s="174"/>
      <c r="J11" s="175"/>
      <c r="K11" s="175"/>
      <c r="L11" s="175"/>
      <c r="M11" s="175"/>
    </row>
    <row r="12" spans="1:13" ht="14.25" x14ac:dyDescent="0.2">
      <c r="A12" s="2" t="s">
        <v>27</v>
      </c>
      <c r="C12" s="142">
        <v>225</v>
      </c>
      <c r="D12" s="142"/>
      <c r="E12" s="175"/>
      <c r="F12" s="175"/>
      <c r="G12" s="174"/>
      <c r="J12" s="142"/>
      <c r="K12" s="142"/>
      <c r="L12" s="175"/>
      <c r="M12" s="175"/>
    </row>
    <row r="13" spans="1:13" ht="4.5" customHeight="1" x14ac:dyDescent="0.2">
      <c r="A13" s="2"/>
      <c r="C13" s="175"/>
      <c r="D13" s="175"/>
      <c r="E13" s="175"/>
      <c r="F13" s="175"/>
      <c r="G13" s="174"/>
      <c r="J13" s="175"/>
      <c r="K13" s="175"/>
      <c r="L13" s="175"/>
      <c r="M13" s="175"/>
    </row>
    <row r="14" spans="1:13" ht="14.25" x14ac:dyDescent="0.2">
      <c r="A14" s="2" t="s">
        <v>28</v>
      </c>
      <c r="C14" s="178">
        <v>299.0415899406089</v>
      </c>
      <c r="D14" s="175">
        <v>0</v>
      </c>
      <c r="E14" s="175"/>
      <c r="F14" s="175"/>
      <c r="G14" s="174"/>
      <c r="H14" s="183">
        <f>Primary_Office*3</f>
        <v>897.1247698218267</v>
      </c>
      <c r="J14" s="178"/>
      <c r="K14" s="175"/>
      <c r="L14" s="175"/>
      <c r="M14" s="175"/>
    </row>
    <row r="15" spans="1:13" ht="4.5" customHeight="1" x14ac:dyDescent="0.2">
      <c r="A15" s="2"/>
      <c r="C15" s="175"/>
      <c r="D15" s="175"/>
      <c r="E15" s="175"/>
      <c r="F15" s="175"/>
      <c r="G15" s="174"/>
      <c r="H15" s="183"/>
      <c r="J15" s="175"/>
      <c r="K15" s="175"/>
      <c r="L15" s="175"/>
      <c r="M15" s="175"/>
    </row>
    <row r="16" spans="1:13" ht="14.25" x14ac:dyDescent="0.2">
      <c r="A16" s="2" t="s">
        <v>29</v>
      </c>
      <c r="C16" s="178">
        <v>304.08571560890914</v>
      </c>
      <c r="D16" s="175">
        <v>150</v>
      </c>
      <c r="E16" s="175"/>
      <c r="F16" s="175"/>
      <c r="G16" s="174"/>
      <c r="H16" s="183">
        <f>SUM(C16:D16)*3</f>
        <v>1362.2571468267274</v>
      </c>
      <c r="J16" s="178"/>
      <c r="K16" s="175"/>
      <c r="L16" s="175"/>
      <c r="M16" s="175"/>
    </row>
    <row r="17" spans="1:13" ht="4.5" customHeight="1" x14ac:dyDescent="0.2">
      <c r="A17" s="2"/>
      <c r="C17" s="175"/>
      <c r="D17" s="175"/>
      <c r="E17" s="175"/>
      <c r="F17" s="175"/>
      <c r="G17" s="174"/>
      <c r="H17" s="183"/>
      <c r="J17" s="175"/>
      <c r="K17" s="175"/>
      <c r="L17" s="175"/>
      <c r="M17" s="175"/>
    </row>
    <row r="18" spans="1:13" ht="14.25" x14ac:dyDescent="0.2">
      <c r="A18" s="2" t="s">
        <v>30</v>
      </c>
      <c r="C18" s="175"/>
      <c r="D18" s="175"/>
      <c r="E18" s="178">
        <v>4415.9251802501121</v>
      </c>
      <c r="F18" s="175"/>
      <c r="G18" s="174"/>
      <c r="H18" s="183">
        <f>SUM(H14:H16)</f>
        <v>2259.3819166485541</v>
      </c>
      <c r="J18" s="175"/>
      <c r="K18" s="175"/>
      <c r="L18" s="178"/>
      <c r="M18" s="175"/>
    </row>
    <row r="19" spans="1:13" ht="4.5" customHeight="1" x14ac:dyDescent="0.2">
      <c r="A19" s="2"/>
      <c r="C19" s="175"/>
      <c r="D19" s="175"/>
      <c r="E19" s="175"/>
      <c r="F19" s="175"/>
      <c r="G19" s="174"/>
      <c r="J19" s="175"/>
      <c r="K19" s="175"/>
      <c r="L19" s="175"/>
      <c r="M19" s="175"/>
    </row>
    <row r="20" spans="1:13" ht="14.25" x14ac:dyDescent="0.2">
      <c r="A20" s="2" t="s">
        <v>31</v>
      </c>
      <c r="C20" s="175"/>
      <c r="D20" s="178">
        <v>128.46172478793775</v>
      </c>
      <c r="E20" s="175"/>
      <c r="F20" s="175"/>
      <c r="G20" s="174"/>
      <c r="J20" s="175"/>
      <c r="K20" s="178"/>
      <c r="L20" s="175"/>
      <c r="M20" s="175"/>
    </row>
    <row r="21" spans="1:13" ht="4.5" customHeight="1" x14ac:dyDescent="0.2">
      <c r="A21" s="2"/>
      <c r="C21" s="175"/>
      <c r="D21" s="175"/>
      <c r="E21" s="175"/>
      <c r="F21" s="175"/>
      <c r="G21" s="174"/>
      <c r="J21" s="175"/>
      <c r="K21" s="175"/>
      <c r="L21" s="175"/>
      <c r="M21" s="175"/>
    </row>
    <row r="22" spans="1:13" ht="14.25" x14ac:dyDescent="0.2">
      <c r="A22" s="2" t="s">
        <v>32</v>
      </c>
      <c r="C22" s="176"/>
      <c r="D22" s="178">
        <v>4590.1338139661184</v>
      </c>
      <c r="E22" s="175"/>
      <c r="F22" s="175"/>
      <c r="G22" s="174"/>
      <c r="J22" s="176"/>
      <c r="K22" s="178"/>
      <c r="L22" s="175"/>
      <c r="M22" s="175"/>
    </row>
    <row r="23" spans="1:13" ht="4.5" customHeight="1" x14ac:dyDescent="0.2">
      <c r="A23" s="2"/>
      <c r="C23" s="175"/>
      <c r="D23" s="175"/>
      <c r="E23" s="175"/>
      <c r="F23" s="175"/>
      <c r="G23" s="174"/>
      <c r="J23" s="175"/>
      <c r="K23" s="175"/>
      <c r="L23" s="175"/>
      <c r="M23" s="175"/>
    </row>
    <row r="24" spans="1:13" ht="14.25" x14ac:dyDescent="0.2">
      <c r="A24" s="2" t="s">
        <v>33</v>
      </c>
      <c r="C24" s="176"/>
      <c r="D24" s="178">
        <v>4547.9036924932579</v>
      </c>
      <c r="E24" s="175"/>
      <c r="F24" s="175"/>
      <c r="G24" s="174"/>
      <c r="J24" s="176"/>
      <c r="K24" s="178"/>
      <c r="L24" s="175"/>
      <c r="M24" s="175"/>
    </row>
    <row r="25" spans="1:13" ht="4.5" customHeight="1" x14ac:dyDescent="0.2">
      <c r="A25" s="2"/>
      <c r="C25" s="175"/>
      <c r="D25" s="175"/>
      <c r="E25" s="175"/>
      <c r="F25" s="175"/>
      <c r="G25" s="174"/>
      <c r="J25" s="175"/>
      <c r="K25" s="175"/>
      <c r="L25" s="175"/>
      <c r="M25" s="175"/>
    </row>
    <row r="26" spans="1:13" ht="14.25" x14ac:dyDescent="0.2">
      <c r="A26" s="2" t="s">
        <v>34</v>
      </c>
      <c r="C26" s="175"/>
      <c r="D26" s="141"/>
      <c r="E26" s="178">
        <v>26717.382179862259</v>
      </c>
      <c r="F26" s="178">
        <v>1896.2035731897809</v>
      </c>
      <c r="G26" s="174"/>
      <c r="J26" s="175"/>
      <c r="K26" s="141"/>
      <c r="L26" s="178"/>
      <c r="M26" s="178"/>
    </row>
    <row r="27" spans="1:13" ht="4.5" customHeight="1" x14ac:dyDescent="0.2">
      <c r="A27" s="2"/>
      <c r="C27" s="142"/>
      <c r="D27" s="142"/>
      <c r="E27" s="142"/>
      <c r="F27" s="142"/>
      <c r="G27" s="174"/>
      <c r="J27" s="142"/>
      <c r="K27" s="142"/>
      <c r="L27" s="142"/>
      <c r="M27" s="142"/>
    </row>
    <row r="28" spans="1:13" ht="14.25" x14ac:dyDescent="0.2">
      <c r="A28" s="2" t="s">
        <v>35</v>
      </c>
      <c r="C28" s="142"/>
      <c r="D28" s="177">
        <v>5602.6649449653332</v>
      </c>
      <c r="E28" s="177">
        <v>26599.894696046271</v>
      </c>
      <c r="F28" s="177">
        <v>423.22880333119087</v>
      </c>
      <c r="G28" s="174"/>
      <c r="J28" s="142"/>
      <c r="K28" s="177"/>
      <c r="L28" s="177"/>
      <c r="M28" s="177"/>
    </row>
    <row r="29" spans="1:13" ht="14.25" x14ac:dyDescent="0.2">
      <c r="C29" s="142"/>
      <c r="D29" s="142"/>
      <c r="E29" s="142"/>
      <c r="F29" s="142"/>
      <c r="G29" s="174"/>
      <c r="J29" s="142"/>
      <c r="K29" s="142"/>
      <c r="L29" s="142"/>
      <c r="M29" s="142"/>
    </row>
    <row r="30" spans="1:13" ht="14.25" x14ac:dyDescent="0.2">
      <c r="A30" s="121" t="s">
        <v>107</v>
      </c>
      <c r="C30" s="142"/>
      <c r="D30" s="142"/>
      <c r="E30" s="142"/>
      <c r="F30" s="142"/>
      <c r="G30" s="174"/>
      <c r="J30" s="142"/>
      <c r="K30" s="142"/>
      <c r="L30" s="142"/>
      <c r="M30" s="142"/>
    </row>
    <row r="31" spans="1:13" ht="14.25" x14ac:dyDescent="0.2">
      <c r="A31" s="121" t="s">
        <v>104</v>
      </c>
      <c r="C31" s="177">
        <v>45.708126339502122</v>
      </c>
      <c r="D31" s="142"/>
      <c r="E31" s="142"/>
      <c r="F31" s="142"/>
      <c r="G31" s="2"/>
      <c r="J31" s="177"/>
      <c r="K31" s="142"/>
      <c r="L31" s="142"/>
      <c r="M31" s="142"/>
    </row>
    <row r="32" spans="1:13" ht="15.75" x14ac:dyDescent="0.25">
      <c r="A32" s="121" t="s">
        <v>105</v>
      </c>
      <c r="C32" s="177">
        <v>520.81951315718334</v>
      </c>
      <c r="D32" s="143"/>
      <c r="E32" s="143"/>
      <c r="F32" s="143"/>
      <c r="G32" s="12"/>
      <c r="J32" s="177"/>
      <c r="K32" s="143"/>
      <c r="L32" s="143"/>
      <c r="M32" s="143"/>
    </row>
    <row r="33" spans="1:13" ht="14.25" x14ac:dyDescent="0.2">
      <c r="A33" s="121" t="s">
        <v>106</v>
      </c>
      <c r="C33" s="177">
        <v>354.43725517198095</v>
      </c>
      <c r="D33" s="142"/>
      <c r="E33" s="142"/>
      <c r="F33" s="142"/>
      <c r="G33" s="2"/>
      <c r="J33" s="177"/>
      <c r="K33" s="142"/>
      <c r="L33" s="142"/>
      <c r="M33" s="142"/>
    </row>
    <row r="34" spans="1:13" ht="14.25" x14ac:dyDescent="0.2">
      <c r="C34" s="139"/>
      <c r="D34" s="139"/>
      <c r="E34" s="139"/>
      <c r="F34" s="139"/>
      <c r="G34" s="2"/>
      <c r="J34" s="139"/>
      <c r="K34" s="139"/>
      <c r="L34" s="139"/>
      <c r="M34" s="139"/>
    </row>
    <row r="35" spans="1:13" ht="15.75" x14ac:dyDescent="0.25">
      <c r="C35" s="179" t="s">
        <v>137</v>
      </c>
      <c r="D35" s="13"/>
      <c r="E35" s="13"/>
      <c r="F35" s="13"/>
      <c r="G35" s="181"/>
      <c r="J35" s="179"/>
      <c r="K35" s="13"/>
      <c r="L35" s="13"/>
      <c r="M35" s="13"/>
    </row>
    <row r="36" spans="1:13" ht="14.25" x14ac:dyDescent="0.2">
      <c r="C36" s="139"/>
      <c r="D36" s="139"/>
      <c r="E36" s="139"/>
      <c r="F36" s="139"/>
      <c r="G36" s="2"/>
      <c r="J36" s="139"/>
      <c r="K36" s="139"/>
      <c r="L36" s="139"/>
      <c r="M36" s="139"/>
    </row>
    <row r="37" spans="1:13" ht="14.25" x14ac:dyDescent="0.2">
      <c r="C37" s="139"/>
      <c r="D37" s="139"/>
      <c r="E37" s="139"/>
      <c r="F37" s="139"/>
      <c r="G37" s="2"/>
      <c r="J37" s="139"/>
      <c r="K37" s="139"/>
      <c r="L37" s="139"/>
      <c r="M37" s="139"/>
    </row>
    <row r="38" spans="1:13" x14ac:dyDescent="0.2">
      <c r="C38" s="44"/>
      <c r="D38" s="44"/>
      <c r="E38" s="44"/>
      <c r="F38" s="44"/>
      <c r="G38" s="43"/>
      <c r="J38" s="44"/>
      <c r="K38" s="44"/>
      <c r="L38" s="44"/>
      <c r="M38" s="44"/>
    </row>
  </sheetData>
  <mergeCells count="2">
    <mergeCell ref="C2:F2"/>
    <mergeCell ref="J2:M2"/>
  </mergeCells>
  <phoneticPr fontId="2" type="noConversion"/>
  <pageMargins left="0.75" right="0.75" top="1" bottom="1" header="0.5" footer="0.5"/>
  <pageSetup scale="54"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2:G57"/>
  <sheetViews>
    <sheetView workbookViewId="0">
      <selection activeCell="J44" sqref="J44"/>
    </sheetView>
  </sheetViews>
  <sheetFormatPr defaultRowHeight="12.75" x14ac:dyDescent="0.2"/>
  <sheetData>
    <row r="2" spans="1:7" x14ac:dyDescent="0.2">
      <c r="F2" s="112" t="s">
        <v>83</v>
      </c>
      <c r="G2" s="112" t="s">
        <v>86</v>
      </c>
    </row>
    <row r="8" spans="1:7" x14ac:dyDescent="0.2">
      <c r="A8">
        <v>10</v>
      </c>
      <c r="C8">
        <v>0</v>
      </c>
    </row>
    <row r="9" spans="1:7" x14ac:dyDescent="0.2">
      <c r="A9">
        <f t="shared" ref="A9:A17" si="0">A8+10</f>
        <v>20</v>
      </c>
      <c r="C9">
        <v>1</v>
      </c>
    </row>
    <row r="10" spans="1:7" x14ac:dyDescent="0.2">
      <c r="A10">
        <f t="shared" si="0"/>
        <v>30</v>
      </c>
    </row>
    <row r="11" spans="1:7" x14ac:dyDescent="0.2">
      <c r="A11">
        <f t="shared" si="0"/>
        <v>40</v>
      </c>
    </row>
    <row r="12" spans="1:7" x14ac:dyDescent="0.2">
      <c r="A12">
        <f t="shared" si="0"/>
        <v>50</v>
      </c>
    </row>
    <row r="13" spans="1:7" x14ac:dyDescent="0.2">
      <c r="A13">
        <f t="shared" si="0"/>
        <v>60</v>
      </c>
      <c r="C13">
        <v>0</v>
      </c>
    </row>
    <row r="14" spans="1:7" x14ac:dyDescent="0.2">
      <c r="A14">
        <f t="shared" si="0"/>
        <v>70</v>
      </c>
      <c r="C14">
        <v>1</v>
      </c>
    </row>
    <row r="15" spans="1:7" x14ac:dyDescent="0.2">
      <c r="A15">
        <f t="shared" si="0"/>
        <v>80</v>
      </c>
      <c r="C15">
        <v>2</v>
      </c>
    </row>
    <row r="16" spans="1:7" x14ac:dyDescent="0.2">
      <c r="A16">
        <f t="shared" si="0"/>
        <v>90</v>
      </c>
      <c r="C16">
        <v>3</v>
      </c>
    </row>
    <row r="17" spans="1:3" x14ac:dyDescent="0.2">
      <c r="A17">
        <f t="shared" si="0"/>
        <v>100</v>
      </c>
      <c r="C17">
        <v>4</v>
      </c>
    </row>
    <row r="18" spans="1:3" x14ac:dyDescent="0.2">
      <c r="C18">
        <v>5</v>
      </c>
    </row>
    <row r="19" spans="1:3" x14ac:dyDescent="0.2">
      <c r="C19">
        <v>6</v>
      </c>
    </row>
    <row r="20" spans="1:3" x14ac:dyDescent="0.2">
      <c r="C20">
        <v>7</v>
      </c>
    </row>
    <row r="21" spans="1:3" x14ac:dyDescent="0.2">
      <c r="A21">
        <v>20</v>
      </c>
      <c r="C21">
        <v>8</v>
      </c>
    </row>
    <row r="22" spans="1:3" x14ac:dyDescent="0.2">
      <c r="A22">
        <f t="shared" ref="A22:A30" si="1">A21+20</f>
        <v>40</v>
      </c>
      <c r="C22">
        <v>9</v>
      </c>
    </row>
    <row r="23" spans="1:3" x14ac:dyDescent="0.2">
      <c r="A23">
        <f t="shared" si="1"/>
        <v>60</v>
      </c>
      <c r="C23">
        <v>10</v>
      </c>
    </row>
    <row r="24" spans="1:3" x14ac:dyDescent="0.2">
      <c r="A24">
        <f t="shared" si="1"/>
        <v>80</v>
      </c>
      <c r="C24">
        <v>11</v>
      </c>
    </row>
    <row r="25" spans="1:3" x14ac:dyDescent="0.2">
      <c r="A25">
        <f t="shared" si="1"/>
        <v>100</v>
      </c>
      <c r="C25">
        <v>12</v>
      </c>
    </row>
    <row r="26" spans="1:3" x14ac:dyDescent="0.2">
      <c r="A26">
        <f t="shared" si="1"/>
        <v>120</v>
      </c>
      <c r="C26">
        <v>13</v>
      </c>
    </row>
    <row r="27" spans="1:3" x14ac:dyDescent="0.2">
      <c r="A27">
        <f t="shared" si="1"/>
        <v>140</v>
      </c>
      <c r="C27">
        <v>14</v>
      </c>
    </row>
    <row r="28" spans="1:3" x14ac:dyDescent="0.2">
      <c r="A28">
        <f t="shared" si="1"/>
        <v>160</v>
      </c>
      <c r="C28">
        <v>15</v>
      </c>
    </row>
    <row r="29" spans="1:3" x14ac:dyDescent="0.2">
      <c r="A29">
        <f t="shared" si="1"/>
        <v>180</v>
      </c>
      <c r="C29">
        <v>16</v>
      </c>
    </row>
    <row r="30" spans="1:3" x14ac:dyDescent="0.2">
      <c r="A30">
        <f t="shared" si="1"/>
        <v>200</v>
      </c>
      <c r="C30">
        <v>17</v>
      </c>
    </row>
    <row r="31" spans="1:3" x14ac:dyDescent="0.2">
      <c r="C31">
        <v>18</v>
      </c>
    </row>
    <row r="32" spans="1:3" x14ac:dyDescent="0.2">
      <c r="C32">
        <v>19</v>
      </c>
    </row>
    <row r="33" spans="1:3" x14ac:dyDescent="0.2">
      <c r="A33">
        <v>50</v>
      </c>
      <c r="C33">
        <v>20</v>
      </c>
    </row>
    <row r="34" spans="1:3" x14ac:dyDescent="0.2">
      <c r="A34">
        <f t="shared" ref="A34:A52" si="2">A33+50</f>
        <v>100</v>
      </c>
      <c r="C34">
        <v>21</v>
      </c>
    </row>
    <row r="35" spans="1:3" x14ac:dyDescent="0.2">
      <c r="A35">
        <f t="shared" si="2"/>
        <v>150</v>
      </c>
      <c r="C35">
        <v>22</v>
      </c>
    </row>
    <row r="36" spans="1:3" x14ac:dyDescent="0.2">
      <c r="A36">
        <f t="shared" si="2"/>
        <v>200</v>
      </c>
      <c r="C36">
        <v>23</v>
      </c>
    </row>
    <row r="37" spans="1:3" x14ac:dyDescent="0.2">
      <c r="A37">
        <f t="shared" si="2"/>
        <v>250</v>
      </c>
      <c r="C37">
        <v>24</v>
      </c>
    </row>
    <row r="38" spans="1:3" x14ac:dyDescent="0.2">
      <c r="A38">
        <f t="shared" si="2"/>
        <v>300</v>
      </c>
    </row>
    <row r="39" spans="1:3" x14ac:dyDescent="0.2">
      <c r="A39">
        <f t="shared" si="2"/>
        <v>350</v>
      </c>
    </row>
    <row r="40" spans="1:3" x14ac:dyDescent="0.2">
      <c r="A40">
        <f t="shared" si="2"/>
        <v>400</v>
      </c>
    </row>
    <row r="41" spans="1:3" x14ac:dyDescent="0.2">
      <c r="A41">
        <f t="shared" si="2"/>
        <v>450</v>
      </c>
    </row>
    <row r="42" spans="1:3" x14ac:dyDescent="0.2">
      <c r="A42">
        <f t="shared" si="2"/>
        <v>500</v>
      </c>
    </row>
    <row r="43" spans="1:3" x14ac:dyDescent="0.2">
      <c r="A43">
        <f t="shared" si="2"/>
        <v>550</v>
      </c>
    </row>
    <row r="44" spans="1:3" x14ac:dyDescent="0.2">
      <c r="A44">
        <f t="shared" si="2"/>
        <v>600</v>
      </c>
    </row>
    <row r="45" spans="1:3" x14ac:dyDescent="0.2">
      <c r="A45">
        <f t="shared" si="2"/>
        <v>650</v>
      </c>
    </row>
    <row r="46" spans="1:3" x14ac:dyDescent="0.2">
      <c r="A46">
        <f t="shared" si="2"/>
        <v>700</v>
      </c>
    </row>
    <row r="47" spans="1:3" x14ac:dyDescent="0.2">
      <c r="A47">
        <f t="shared" si="2"/>
        <v>750</v>
      </c>
    </row>
    <row r="48" spans="1:3" x14ac:dyDescent="0.2">
      <c r="A48">
        <f t="shared" si="2"/>
        <v>800</v>
      </c>
    </row>
    <row r="49" spans="1:1" x14ac:dyDescent="0.2">
      <c r="A49">
        <f t="shared" si="2"/>
        <v>850</v>
      </c>
    </row>
    <row r="50" spans="1:1" x14ac:dyDescent="0.2">
      <c r="A50">
        <f t="shared" si="2"/>
        <v>900</v>
      </c>
    </row>
    <row r="51" spans="1:1" x14ac:dyDescent="0.2">
      <c r="A51">
        <f t="shared" si="2"/>
        <v>950</v>
      </c>
    </row>
    <row r="52" spans="1:1" x14ac:dyDescent="0.2">
      <c r="A52">
        <f t="shared" si="2"/>
        <v>1000</v>
      </c>
    </row>
    <row r="56" spans="1:1" ht="15.75" x14ac:dyDescent="0.25">
      <c r="A56" s="12" t="s">
        <v>8</v>
      </c>
    </row>
    <row r="57" spans="1:1" ht="15.75" x14ac:dyDescent="0.25">
      <c r="A57" s="12" t="s">
        <v>6</v>
      </c>
    </row>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160</vt:i4>
      </vt:variant>
    </vt:vector>
  </HeadingPairs>
  <TitlesOfParts>
    <vt:vector size="161" baseType="lpstr">
      <vt:lpstr>Plan Comparison Calculator</vt:lpstr>
      <vt:lpstr>Baby_Facility</vt:lpstr>
      <vt:lpstr>Baby_Physician</vt:lpstr>
      <vt:lpstr>CatScan</vt:lpstr>
      <vt:lpstr>Coverage</vt:lpstr>
      <vt:lpstr>EE_Phys</vt:lpstr>
      <vt:lpstr>EEPhys</vt:lpstr>
      <vt:lpstr>Employee_CostShare</vt:lpstr>
      <vt:lpstr>ER</vt:lpstr>
      <vt:lpstr>ER_IP</vt:lpstr>
      <vt:lpstr>Error</vt:lpstr>
      <vt:lpstr>Formulary</vt:lpstr>
      <vt:lpstr>FSA_Contribution</vt:lpstr>
      <vt:lpstr>Generic</vt:lpstr>
      <vt:lpstr>HSA_Contribution</vt:lpstr>
      <vt:lpstr>IP_Facility</vt:lpstr>
      <vt:lpstr>IP_Hosp</vt:lpstr>
      <vt:lpstr>IP_Physician</vt:lpstr>
      <vt:lpstr>IP_XrayLab</vt:lpstr>
      <vt:lpstr>Lab</vt:lpstr>
      <vt:lpstr>Matenity_XrayLab</vt:lpstr>
      <vt:lpstr>Maternity_Facility</vt:lpstr>
      <vt:lpstr>Maternity_Inpatient</vt:lpstr>
      <vt:lpstr>Maternity_Office</vt:lpstr>
      <vt:lpstr>Maternity_Physician</vt:lpstr>
      <vt:lpstr>Maternity_XrayLab</vt:lpstr>
      <vt:lpstr>Network_Choice</vt:lpstr>
      <vt:lpstr>NonFormulary</vt:lpstr>
      <vt:lpstr>OONCostLoad</vt:lpstr>
      <vt:lpstr>P1_Carrier</vt:lpstr>
      <vt:lpstr>P1_Coins</vt:lpstr>
      <vt:lpstr>P1_Deduct</vt:lpstr>
      <vt:lpstr>P1_ER</vt:lpstr>
      <vt:lpstr>P1_FamMult</vt:lpstr>
      <vt:lpstr>P1_In_Coins</vt:lpstr>
      <vt:lpstr>P1_In_Deduct</vt:lpstr>
      <vt:lpstr>P1_In_ER</vt:lpstr>
      <vt:lpstr>P1_In_FamMult</vt:lpstr>
      <vt:lpstr>P1_In_IP_Hosp_Copay</vt:lpstr>
      <vt:lpstr>P1_In_LabMax</vt:lpstr>
      <vt:lpstr>P1_In_Maternity_IP_Copay</vt:lpstr>
      <vt:lpstr>P1_In_OOPMax</vt:lpstr>
      <vt:lpstr>P1_In_OP_Surgery_Copay</vt:lpstr>
      <vt:lpstr>P1_In_Ov</vt:lpstr>
      <vt:lpstr>P1_In_OVCoins</vt:lpstr>
      <vt:lpstr>P1_In_Rx1</vt:lpstr>
      <vt:lpstr>P1_In_Rx2</vt:lpstr>
      <vt:lpstr>P1_In_Rx3</vt:lpstr>
      <vt:lpstr>P1_IP_Hosp_Copay</vt:lpstr>
      <vt:lpstr>P1_LabMax</vt:lpstr>
      <vt:lpstr>P1_Maternity_IP_Copay</vt:lpstr>
      <vt:lpstr>P1_OOPMax</vt:lpstr>
      <vt:lpstr>P1_OP_Surg_Copay</vt:lpstr>
      <vt:lpstr>P1_Out_Coins</vt:lpstr>
      <vt:lpstr>P1_Out_Deduct</vt:lpstr>
      <vt:lpstr>P1_Out_ER</vt:lpstr>
      <vt:lpstr>P1_Out_FamMult</vt:lpstr>
      <vt:lpstr>P1_Out_IP_Hosp_Copay</vt:lpstr>
      <vt:lpstr>P1_Out_LabMax</vt:lpstr>
      <vt:lpstr>P1_Out_Maternity_IP_Copay</vt:lpstr>
      <vt:lpstr>P1_Out_OOPMax</vt:lpstr>
      <vt:lpstr>P1_Out_OP_Surgery_Copay</vt:lpstr>
      <vt:lpstr>P1_Out_Ov</vt:lpstr>
      <vt:lpstr>P1_Out_OVCoins</vt:lpstr>
      <vt:lpstr>P1_Out_Rx1</vt:lpstr>
      <vt:lpstr>P1_Out_Rx2</vt:lpstr>
      <vt:lpstr>P1_Out_Rx3</vt:lpstr>
      <vt:lpstr>P1_OV</vt:lpstr>
      <vt:lpstr>P1_OVCoins</vt:lpstr>
      <vt:lpstr>P1_Plan</vt:lpstr>
      <vt:lpstr>P1_Rx1</vt:lpstr>
      <vt:lpstr>P1_Rx2</vt:lpstr>
      <vt:lpstr>P1_Rx3</vt:lpstr>
      <vt:lpstr>P1_RxDed</vt:lpstr>
      <vt:lpstr>P1_RxDeduct</vt:lpstr>
      <vt:lpstr>P2_Carrier</vt:lpstr>
      <vt:lpstr>P2_Coins</vt:lpstr>
      <vt:lpstr>P2_Deduct</vt:lpstr>
      <vt:lpstr>P2_ER</vt:lpstr>
      <vt:lpstr>P2_FamMult</vt:lpstr>
      <vt:lpstr>P2_In_Coins</vt:lpstr>
      <vt:lpstr>P2_In_Deduct</vt:lpstr>
      <vt:lpstr>P2_In_ER</vt:lpstr>
      <vt:lpstr>P2_In_FamMult</vt:lpstr>
      <vt:lpstr>P2_In_IP_Hosp_Copay</vt:lpstr>
      <vt:lpstr>P2_In_LabMax</vt:lpstr>
      <vt:lpstr>P2_In_Maternity_IP_Copay</vt:lpstr>
      <vt:lpstr>P2_In_OOPMax</vt:lpstr>
      <vt:lpstr>P2_In_OP_Surgery_Copay</vt:lpstr>
      <vt:lpstr>P2_In_OV</vt:lpstr>
      <vt:lpstr>P2_In_OVCoins</vt:lpstr>
      <vt:lpstr>P2_In_Rx1</vt:lpstr>
      <vt:lpstr>P2_In_Rx2</vt:lpstr>
      <vt:lpstr>P2_In_Rx3</vt:lpstr>
      <vt:lpstr>P2_IP_Hosp_Copay</vt:lpstr>
      <vt:lpstr>P2_LabMax</vt:lpstr>
      <vt:lpstr>P2_Maternity_IP_Copay</vt:lpstr>
      <vt:lpstr>P2_OOPMax</vt:lpstr>
      <vt:lpstr>P2_OP_Surg_Copay</vt:lpstr>
      <vt:lpstr>P2_Out_Coins</vt:lpstr>
      <vt:lpstr>P2_Out_Deduct</vt:lpstr>
      <vt:lpstr>P2_Out_ER</vt:lpstr>
      <vt:lpstr>P2_Out_FamMult</vt:lpstr>
      <vt:lpstr>P2_Out_IP_Hosp_Copay</vt:lpstr>
      <vt:lpstr>P2_Out_LabMax</vt:lpstr>
      <vt:lpstr>P2_Out_Maternity_IP_Copay</vt:lpstr>
      <vt:lpstr>P2_Out_OOPMax</vt:lpstr>
      <vt:lpstr>P2_Out_OP_Surgery_Copay</vt:lpstr>
      <vt:lpstr>P2_Out_OV</vt:lpstr>
      <vt:lpstr>P2_Out_OVCoins</vt:lpstr>
      <vt:lpstr>P2_Out_Rx1</vt:lpstr>
      <vt:lpstr>P2_Out_Rx2</vt:lpstr>
      <vt:lpstr>P2_Out_Rx3</vt:lpstr>
      <vt:lpstr>P2_OV</vt:lpstr>
      <vt:lpstr>P2_OVCoins</vt:lpstr>
      <vt:lpstr>P2_Plan</vt:lpstr>
      <vt:lpstr>P2_Rx1</vt:lpstr>
      <vt:lpstr>P2_Rx2</vt:lpstr>
      <vt:lpstr>P2_Rx3</vt:lpstr>
      <vt:lpstr>P2_RxDeduct</vt:lpstr>
      <vt:lpstr>P3_In_Coins</vt:lpstr>
      <vt:lpstr>P3_In_Deduct</vt:lpstr>
      <vt:lpstr>P3_In_ER</vt:lpstr>
      <vt:lpstr>P3_In_FamMult</vt:lpstr>
      <vt:lpstr>P3_In_IP_Hosp_Copay</vt:lpstr>
      <vt:lpstr>P3_In_LabMax</vt:lpstr>
      <vt:lpstr>P3_In_Maternity_IP_Copay</vt:lpstr>
      <vt:lpstr>P3_In_OOPMax</vt:lpstr>
      <vt:lpstr>P3_In_OP_Surgery_Copay</vt:lpstr>
      <vt:lpstr>P3_In_OV</vt:lpstr>
      <vt:lpstr>P3_In_OVCoins</vt:lpstr>
      <vt:lpstr>P3_In_Rx1</vt:lpstr>
      <vt:lpstr>P3_In_Rx2</vt:lpstr>
      <vt:lpstr>P3_In_Rx3</vt:lpstr>
      <vt:lpstr>P3_Out_Coins</vt:lpstr>
      <vt:lpstr>P3_Out_Deduct</vt:lpstr>
      <vt:lpstr>P3_Out_ER</vt:lpstr>
      <vt:lpstr>P3_Out_FamMult</vt:lpstr>
      <vt:lpstr>P3_Out_IP_Hosp_Copay</vt:lpstr>
      <vt:lpstr>P3_Out_LabMax</vt:lpstr>
      <vt:lpstr>P3_Out_Maternity_IP_Copay</vt:lpstr>
      <vt:lpstr>P3_Out_OOPMax</vt:lpstr>
      <vt:lpstr>P3_Out_OP_Surgery_Copay</vt:lpstr>
      <vt:lpstr>P3_Out_OV</vt:lpstr>
      <vt:lpstr>P3_Out_OVCoins</vt:lpstr>
      <vt:lpstr>P3_Out_Rx1</vt:lpstr>
      <vt:lpstr>P3_Out_Rx2</vt:lpstr>
      <vt:lpstr>P3_Out_Rx3</vt:lpstr>
      <vt:lpstr>P3_Plan</vt:lpstr>
      <vt:lpstr>Physical_Office</vt:lpstr>
      <vt:lpstr>Physical_XrayLab</vt:lpstr>
      <vt:lpstr>Primary_Office</vt:lpstr>
      <vt:lpstr>Primary_XrayLab</vt:lpstr>
      <vt:lpstr>'Plan Comparison Calculator'!Print_Area</vt:lpstr>
      <vt:lpstr>Specialist_Office</vt:lpstr>
      <vt:lpstr>Specialist_XrayLab</vt:lpstr>
      <vt:lpstr>Surgery_Facility</vt:lpstr>
      <vt:lpstr>Surgery_Physician</vt:lpstr>
      <vt:lpstr>Surgery_XrayLab</vt:lpstr>
      <vt:lpstr>Visits</vt:lpstr>
      <vt:lpstr>Xray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WS32</dc:creator>
  <cp:lastModifiedBy>Domingo, Dakota A</cp:lastModifiedBy>
  <cp:lastPrinted>2026-10-12T22:17:54Z</cp:lastPrinted>
  <dcterms:created xsi:type="dcterms:W3CDTF">2010-01-15T23:14:27Z</dcterms:created>
  <dcterms:modified xsi:type="dcterms:W3CDTF">2026-10-12T22:18:04Z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4442b1a0-47ea-41c4-b490-9698365b0420</vt:lpwstr>
  </property>
  <property fmtid="{D5CDD505-2E9C-101B-9397-08002B2CF9AE}" pid="3" name="AonClassification">
    <vt:lpwstr>ADC_class_200</vt:lpwstr>
  </property>
  <property fmtid="{D5CDD505-2E9C-101B-9397-08002B2CF9AE}" pid="4" name="MSIP_Label_9043f10a-881e-4653-a55e-02ca2cc829dc_Enabled">
    <vt:lpwstr>true</vt:lpwstr>
  </property>
  <property fmtid="{D5CDD505-2E9C-101B-9397-08002B2CF9AE}" pid="5" name="MSIP_Label_9043f10a-881e-4653-a55e-02ca2cc829dc_SetDate">
    <vt:lpwstr>2024-09-12T21:51:57Z</vt:lpwstr>
  </property>
  <property fmtid="{D5CDD505-2E9C-101B-9397-08002B2CF9AE}" pid="6" name="MSIP_Label_9043f10a-881e-4653-a55e-02ca2cc829dc_Method">
    <vt:lpwstr>Standard</vt:lpwstr>
  </property>
  <property fmtid="{D5CDD505-2E9C-101B-9397-08002B2CF9AE}" pid="7" name="MSIP_Label_9043f10a-881e-4653-a55e-02ca2cc829dc_Name">
    <vt:lpwstr>ADC_class_200</vt:lpwstr>
  </property>
  <property fmtid="{D5CDD505-2E9C-101B-9397-08002B2CF9AE}" pid="8" name="MSIP_Label_9043f10a-881e-4653-a55e-02ca2cc829dc_SiteId">
    <vt:lpwstr>94cfddbc-0627-494a-ad7a-29aea3aea832</vt:lpwstr>
  </property>
  <property fmtid="{D5CDD505-2E9C-101B-9397-08002B2CF9AE}" pid="9" name="MSIP_Label_9043f10a-881e-4653-a55e-02ca2cc829dc_ActionId">
    <vt:lpwstr>852a2bf5-47db-4459-8d02-fbab5f694024</vt:lpwstr>
  </property>
  <property fmtid="{D5CDD505-2E9C-101B-9397-08002B2CF9AE}" pid="10" name="MSIP_Label_9043f10a-881e-4653-a55e-02ca2cc829dc_ContentBits">
    <vt:lpwstr>0</vt:lpwstr>
  </property>
</Properties>
</file>