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Charge1">'Sheet1'!$B$10</definedName>
    <definedName name="Charge2">'Sheet1'!$C$10</definedName>
    <definedName name="Charge3">'Sheet1'!$D$10</definedName>
    <definedName name="Charge4">'Sheet1'!$E$10</definedName>
    <definedName name="dipolecharge">'Sheet1'!$A$40</definedName>
    <definedName name="dipoleseparation">'Sheet1'!$B$40</definedName>
    <definedName name="distance1">'Sheet1'!$B$17</definedName>
    <definedName name="distance2">'Sheet1'!$C$17</definedName>
    <definedName name="distance3">'Sheet1'!$D$17</definedName>
    <definedName name="distance4">'Sheet1'!$E$17</definedName>
    <definedName name="fieldx">'Sheet1'!$G$12</definedName>
    <definedName name="fieldy">'Sheet1'!$G$13</definedName>
    <definedName name="fieldz">'Sheet1'!$G$14</definedName>
    <definedName name="k">'Sheet1'!$B$7</definedName>
    <definedName name="Q1x">'Sheet1'!$B$12</definedName>
    <definedName name="Q1y">'Sheet1'!$B$13</definedName>
    <definedName name="Q1z">'Sheet1'!$B$14</definedName>
    <definedName name="Q2x">'Sheet1'!$C$12</definedName>
    <definedName name="Q2y">'Sheet1'!$C$13</definedName>
    <definedName name="Q2z">'Sheet1'!$C$14</definedName>
    <definedName name="Q3x">'Sheet1'!$D$12</definedName>
    <definedName name="Q3y">'Sheet1'!$D$13</definedName>
    <definedName name="Q3z">'Sheet1'!$D$14</definedName>
    <definedName name="Q4x">'Sheet1'!$E$12</definedName>
    <definedName name="Q4y">'Sheet1'!$E$13</definedName>
    <definedName name="Q4z">'Sheet1'!$E$14</definedName>
    <definedName name="testcharge">'Sheet1'!$B$28</definedName>
    <definedName name="V_at_field_point">'Sheet1'!$I$37</definedName>
  </definedNames>
  <calcPr fullCalcOnLoad="1"/>
</workbook>
</file>

<file path=xl/sharedStrings.xml><?xml version="1.0" encoding="utf-8"?>
<sst xmlns="http://schemas.openxmlformats.org/spreadsheetml/2006/main" count="73" uniqueCount="64">
  <si>
    <t>k</t>
  </si>
  <si>
    <t>field1x</t>
  </si>
  <si>
    <t>field1y</t>
  </si>
  <si>
    <t>field1z</t>
  </si>
  <si>
    <t>force2y</t>
  </si>
  <si>
    <t>force3y</t>
  </si>
  <si>
    <t>Q2</t>
  </si>
  <si>
    <t>Q3</t>
  </si>
  <si>
    <t xml:space="preserve"> </t>
  </si>
  <si>
    <t>total field y</t>
  </si>
  <si>
    <t>total field z</t>
  </si>
  <si>
    <t>total force x</t>
  </si>
  <si>
    <t>total force y</t>
  </si>
  <si>
    <t>total force z</t>
  </si>
  <si>
    <t>DIPOLE APPROXIMATION - ASSUME p IS ALONG +x AXIS</t>
  </si>
  <si>
    <t>GENERAL</t>
  </si>
  <si>
    <t>E along perp. line (theta = 90, 270)</t>
  </si>
  <si>
    <t>force1y</t>
  </si>
  <si>
    <t>force1z</t>
  </si>
  <si>
    <t>force2x</t>
  </si>
  <si>
    <t>force2z</t>
  </si>
  <si>
    <t>force3x</t>
  </si>
  <si>
    <t>force3z</t>
  </si>
  <si>
    <t>E along dipole axis (theta = 0, 180)</t>
  </si>
  <si>
    <t>Ex at that distance and angle</t>
  </si>
  <si>
    <t>Ey at that distance and angle</t>
  </si>
  <si>
    <t>SPECIAL CASES</t>
  </si>
  <si>
    <t>Q4</t>
  </si>
  <si>
    <t>field2x</t>
  </si>
  <si>
    <t>field3x</t>
  </si>
  <si>
    <t>force4x</t>
  </si>
  <si>
    <t>force4y</t>
  </si>
  <si>
    <t>force4z</t>
  </si>
  <si>
    <t>PE of test charge located there (J)</t>
  </si>
  <si>
    <r>
      <t>N 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/C</t>
    </r>
    <r>
      <rPr>
        <vertAlign val="superscript"/>
        <sz val="9"/>
        <rFont val="Geneva"/>
        <family val="0"/>
      </rPr>
      <t>2</t>
    </r>
  </si>
  <si>
    <t>Q1 (coulombs)</t>
  </si>
  <si>
    <t>field1x (N/C)</t>
  </si>
  <si>
    <t>total field x (N/C)</t>
  </si>
  <si>
    <t>force1x (N)</t>
  </si>
  <si>
    <t>charge (C)</t>
  </si>
  <si>
    <t>separation (m)</t>
  </si>
  <si>
    <t>dipole moment (C m)</t>
  </si>
  <si>
    <t>distance from field point to dipole (m)</t>
  </si>
  <si>
    <t>theta between displacement r and dipole moment (deg)</t>
  </si>
  <si>
    <t>angle of field (x-y plane)</t>
  </si>
  <si>
    <t>angle of force (x-y plane)</t>
  </si>
  <si>
    <t>x</t>
  </si>
  <si>
    <t>y</t>
  </si>
  <si>
    <t>z</t>
  </si>
  <si>
    <t>distance to P</t>
  </si>
  <si>
    <t>field point, P</t>
  </si>
  <si>
    <t>test Q</t>
  </si>
  <si>
    <t>electric potential at field point (Volts)</t>
  </si>
  <si>
    <t>Uniformly charged wire</t>
  </si>
  <si>
    <r>
      <t>λ</t>
    </r>
    <r>
      <rPr>
        <sz val="9"/>
        <rFont val="Geneva"/>
        <family val="0"/>
      </rPr>
      <t xml:space="preserve"> (C/m)</t>
    </r>
  </si>
  <si>
    <t>distance from wire, or radius of Gaussian cylinder (m)</t>
  </si>
  <si>
    <t xml:space="preserve">total charge on wire (C)  </t>
  </si>
  <si>
    <t>net flux (N*m*m/C)</t>
  </si>
  <si>
    <t>length of Gaussian cylinder (m)</t>
  </si>
  <si>
    <t>length of center wire (m) - should be "infinite", or &gt;&gt; r</t>
  </si>
  <si>
    <t>E field at cylinder surface (N/C)</t>
  </si>
  <si>
    <t>configuration electric potential energy of Q1, Q2, Q3 and Q4 (J)</t>
  </si>
  <si>
    <t>magnitude of net force on test Q (N)</t>
  </si>
  <si>
    <t>net E field at point P (N/C)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</si>
</sst>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"/>
    <numFmt numFmtId="167" formatCode="0.000E+00"/>
    <numFmt numFmtId="168" formatCode="0.0"/>
    <numFmt numFmtId="169" formatCode="0.0000E+00"/>
    <numFmt numFmtId="170" formatCode="0.00E+00&quot; C&quot;"/>
    <numFmt numFmtId="171" formatCode="0.00E+00&quot; m&quot;"/>
    <numFmt numFmtId="172" formatCode="0.000E+00&quot; m&quot;"/>
    <numFmt numFmtId="173" formatCode="0.000E+00&quot; C&quot;"/>
    <numFmt numFmtId="174" formatCode="0.00000E+00"/>
    <numFmt numFmtId="175" formatCode="0.000000000E+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vertAlign val="superscript"/>
      <sz val="9"/>
      <name val="Geneva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169" fontId="0" fillId="0" borderId="14" xfId="0" applyNumberFormat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/>
    </xf>
    <xf numFmtId="169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169" fontId="0" fillId="0" borderId="21" xfId="0" applyNumberFormat="1" applyBorder="1" applyAlignment="1">
      <alignment/>
    </xf>
    <xf numFmtId="169" fontId="0" fillId="0" borderId="2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169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169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7" fontId="0" fillId="33" borderId="13" xfId="0" applyNumberFormat="1" applyFill="1" applyBorder="1" applyAlignment="1" applyProtection="1">
      <alignment/>
      <protection locked="0"/>
    </xf>
    <xf numFmtId="167" fontId="0" fillId="0" borderId="22" xfId="0" applyNumberFormat="1" applyBorder="1" applyAlignment="1">
      <alignment/>
    </xf>
    <xf numFmtId="170" fontId="0" fillId="33" borderId="0" xfId="0" applyNumberFormat="1" applyFill="1" applyBorder="1" applyAlignment="1" applyProtection="1">
      <alignment/>
      <protection locked="0"/>
    </xf>
    <xf numFmtId="17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72" fontId="0" fillId="33" borderId="0" xfId="0" applyNumberForma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1" fontId="0" fillId="33" borderId="15" xfId="0" applyNumberFormat="1" applyFill="1" applyBorder="1" applyAlignment="1" applyProtection="1">
      <alignment/>
      <protection locked="0"/>
    </xf>
    <xf numFmtId="175" fontId="0" fillId="0" borderId="0" xfId="0" applyNumberFormat="1" applyAlignment="1">
      <alignment/>
    </xf>
    <xf numFmtId="172" fontId="0" fillId="0" borderId="0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indexed="50"/>
      </font>
      <fill>
        <patternFill>
          <bgColor indexed="43"/>
        </patternFill>
      </fill>
    </dxf>
    <dxf>
      <font>
        <color indexed="50"/>
      </font>
      <fill>
        <patternFill>
          <bgColor indexed="43"/>
        </patternFill>
      </fill>
    </dxf>
    <dxf>
      <font>
        <color indexed="50"/>
      </font>
      <fill>
        <patternFill>
          <bgColor indexed="43"/>
        </patternFill>
      </fill>
    </dxf>
    <dxf>
      <font>
        <color indexed="50"/>
      </font>
      <fill>
        <patternFill patternType="none">
          <bgColor indexed="65"/>
        </patternFill>
      </fill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50"/>
      </font>
      <fill>
        <patternFill>
          <bgColor indexed="26"/>
        </patternFill>
      </fill>
    </dxf>
    <dxf>
      <font>
        <color rgb="FF99CC00"/>
      </font>
      <fill>
        <patternFill>
          <bgColor rgb="FFFFFFCC"/>
        </patternFill>
      </fill>
      <border/>
    </dxf>
    <dxf>
      <font>
        <color rgb="FF99CC00"/>
      </font>
      <border/>
    </dxf>
    <dxf>
      <font>
        <color rgb="FF99CC00"/>
      </font>
      <fill>
        <patternFill patternType="none">
          <bgColor indexed="65"/>
        </patternFill>
      </fill>
      <border/>
    </dxf>
    <dxf>
      <font>
        <color rgb="FF99CC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8</xdr:col>
      <xdr:colOff>457200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57150"/>
          <a:ext cx="7648575" cy="685800"/>
        </a:xfrm>
        <a:prstGeom prst="rect">
          <a:avLst/>
        </a:prstGeom>
        <a:solidFill>
          <a:srgbClr val="FFFFFF"/>
        </a:solidFill>
        <a:ln w="127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the charges and positions corresponding to your problem. Units in entry boxes do not have to be entered: they are assumed to be coulombs, meters or degrees. Charges that are zero have their corresponding positions automatically dimmed (to aid in reading), but may still be edited.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Written by Rich Louie, PLU,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2"/>
  <sheetViews>
    <sheetView tabSelected="1" zoomScalePageLayoutView="0" workbookViewId="0" topLeftCell="A1">
      <selection activeCell="B29" sqref="B29"/>
    </sheetView>
  </sheetViews>
  <sheetFormatPr defaultColWidth="11.375" defaultRowHeight="12"/>
  <cols>
    <col min="1" max="1" width="10.375" style="0" customWidth="1"/>
    <col min="2" max="2" width="16.00390625" style="0" customWidth="1"/>
    <col min="3" max="3" width="15.25390625" style="0" customWidth="1"/>
    <col min="4" max="4" width="16.375" style="0" customWidth="1"/>
    <col min="5" max="5" width="17.00390625" style="0" customWidth="1"/>
    <col min="6" max="6" width="3.00390625" style="0" customWidth="1"/>
    <col min="7" max="7" width="13.75390625" style="0" customWidth="1"/>
    <col min="8" max="8" width="3.00390625" style="5" customWidth="1"/>
    <col min="9" max="9" width="22.375" style="0" customWidth="1"/>
    <col min="10" max="10" width="12.375" style="0" bestFit="1" customWidth="1"/>
    <col min="11" max="11" width="10.75390625" style="0" bestFit="1" customWidth="1"/>
    <col min="12" max="12" width="9.75390625" style="0" bestFit="1" customWidth="1"/>
    <col min="13" max="14" width="10.00390625" style="0" bestFit="1" customWidth="1"/>
  </cols>
  <sheetData>
    <row r="7" spans="1:6" ht="13.5">
      <c r="A7" s="48" t="s">
        <v>0</v>
      </c>
      <c r="B7" s="56">
        <v>8987551788</v>
      </c>
      <c r="C7" s="1" t="s">
        <v>34</v>
      </c>
      <c r="F7" s="5"/>
    </row>
    <row r="8" spans="6:9" ht="12.75" thickBot="1">
      <c r="F8" s="5"/>
      <c r="H8" s="14"/>
      <c r="I8" s="12"/>
    </row>
    <row r="9" spans="1:10" ht="12">
      <c r="A9" s="6"/>
      <c r="B9" s="7" t="s">
        <v>35</v>
      </c>
      <c r="C9" s="7" t="s">
        <v>6</v>
      </c>
      <c r="D9" s="7" t="s">
        <v>7</v>
      </c>
      <c r="E9" s="7" t="s">
        <v>27</v>
      </c>
      <c r="F9" s="8"/>
      <c r="G9" s="7" t="s">
        <v>50</v>
      </c>
      <c r="H9" s="30"/>
      <c r="I9" s="14"/>
      <c r="J9" s="12"/>
    </row>
    <row r="10" spans="1:10" ht="12">
      <c r="A10" s="10"/>
      <c r="B10" s="45">
        <v>1E-09</v>
      </c>
      <c r="C10" s="45">
        <v>1E-09</v>
      </c>
      <c r="D10" s="45">
        <v>0</v>
      </c>
      <c r="E10" s="45">
        <v>0</v>
      </c>
      <c r="F10" s="11"/>
      <c r="G10" s="12"/>
      <c r="H10" s="30"/>
      <c r="J10" s="12"/>
    </row>
    <row r="11" spans="1:10" ht="12">
      <c r="A11" s="10"/>
      <c r="B11" s="12"/>
      <c r="C11" s="12"/>
      <c r="D11" s="12"/>
      <c r="E11" s="46"/>
      <c r="F11" s="14"/>
      <c r="G11" s="12"/>
      <c r="H11" s="30"/>
      <c r="I11" s="12"/>
      <c r="J11" s="12"/>
    </row>
    <row r="12" spans="1:10" ht="12">
      <c r="A12" s="15" t="s">
        <v>46</v>
      </c>
      <c r="B12" s="49">
        <v>0.02</v>
      </c>
      <c r="C12" s="49">
        <v>0.04</v>
      </c>
      <c r="D12" s="49">
        <v>1.5</v>
      </c>
      <c r="E12" s="49">
        <v>0</v>
      </c>
      <c r="F12" s="23"/>
      <c r="G12" s="49">
        <v>0</v>
      </c>
      <c r="H12" s="31"/>
      <c r="I12" s="57"/>
      <c r="J12" s="12"/>
    </row>
    <row r="13" spans="1:10" ht="12">
      <c r="A13" s="15" t="s">
        <v>47</v>
      </c>
      <c r="B13" s="49">
        <v>0.03</v>
      </c>
      <c r="C13" s="49">
        <v>0.05</v>
      </c>
      <c r="D13" s="49">
        <v>1</v>
      </c>
      <c r="E13" s="49">
        <v>8</v>
      </c>
      <c r="F13" s="23"/>
      <c r="G13" s="49">
        <v>0</v>
      </c>
      <c r="H13" s="31"/>
      <c r="I13" s="57"/>
      <c r="J13" s="12"/>
    </row>
    <row r="14" spans="1:10" ht="12">
      <c r="A14" s="15" t="s">
        <v>48</v>
      </c>
      <c r="B14" s="49">
        <v>0</v>
      </c>
      <c r="C14" s="49">
        <v>0</v>
      </c>
      <c r="D14" s="49">
        <v>0</v>
      </c>
      <c r="E14" s="49">
        <v>3</v>
      </c>
      <c r="F14" s="23"/>
      <c r="G14" s="49">
        <v>0</v>
      </c>
      <c r="H14" s="31"/>
      <c r="I14" s="57"/>
      <c r="J14" s="12"/>
    </row>
    <row r="15" spans="1:10" ht="12">
      <c r="A15" s="10"/>
      <c r="B15" s="12"/>
      <c r="C15" s="12"/>
      <c r="D15" s="12"/>
      <c r="E15" s="12"/>
      <c r="F15" s="14"/>
      <c r="G15" s="12"/>
      <c r="H15" s="30"/>
      <c r="I15" s="12"/>
      <c r="J15" s="12"/>
    </row>
    <row r="16" spans="1:10" ht="12">
      <c r="A16" s="10"/>
      <c r="B16" s="12" t="s">
        <v>49</v>
      </c>
      <c r="C16" s="12" t="s">
        <v>49</v>
      </c>
      <c r="D16" s="12" t="s">
        <v>49</v>
      </c>
      <c r="E16" s="12" t="s">
        <v>49</v>
      </c>
      <c r="F16" s="14"/>
      <c r="G16" s="12"/>
      <c r="H16" s="30"/>
      <c r="I16" s="12"/>
      <c r="J16" s="12"/>
    </row>
    <row r="17" spans="1:10" ht="12">
      <c r="A17" s="10"/>
      <c r="B17" s="47">
        <f>SQRT((Q1x-fieldx)^2+(Q1y-fieldy)^2+(Q1z-fieldz)^2)</f>
        <v>0.03605551275463989</v>
      </c>
      <c r="C17" s="47">
        <f>SQRT((Q2x-fieldx)^2+(Q2y-fieldy)^2+(Q2z-fieldz)^2)</f>
        <v>0.06403124237432849</v>
      </c>
      <c r="D17" s="47">
        <f>SQRT((Q3x-fieldx)^2+(Q3y-fieldy)^2+(Q3z-fieldz)^2)</f>
        <v>1.8027756377319946</v>
      </c>
      <c r="E17" s="47">
        <f>SQRT((Q4x-fieldx)^2+(Q4y-fieldy)^2+(Q4z-fieldz)^2)</f>
        <v>8.54400374531753</v>
      </c>
      <c r="F17" s="14"/>
      <c r="G17" s="12"/>
      <c r="H17" s="30"/>
      <c r="I17" s="12"/>
      <c r="J17" s="12"/>
    </row>
    <row r="18" spans="1:10" ht="12">
      <c r="A18" s="10"/>
      <c r="B18" s="12"/>
      <c r="C18" s="12"/>
      <c r="D18" s="12"/>
      <c r="E18" s="12"/>
      <c r="F18" s="14"/>
      <c r="G18" s="12"/>
      <c r="H18" s="30"/>
      <c r="I18" s="12"/>
      <c r="J18" s="12"/>
    </row>
    <row r="19" spans="1:10" ht="12.75" thickBot="1">
      <c r="A19" s="10"/>
      <c r="B19" s="12" t="s">
        <v>36</v>
      </c>
      <c r="C19" s="12" t="s">
        <v>28</v>
      </c>
      <c r="D19" s="12" t="s">
        <v>29</v>
      </c>
      <c r="E19" s="12" t="s">
        <v>1</v>
      </c>
      <c r="F19" s="14"/>
      <c r="G19" s="12" t="s">
        <v>37</v>
      </c>
      <c r="H19" s="30"/>
      <c r="I19" s="12"/>
      <c r="J19" s="12"/>
    </row>
    <row r="20" spans="1:10" ht="36">
      <c r="A20" s="10"/>
      <c r="B20" s="16">
        <f>k*Charge1*(fieldx-Q1x)/distance1^3</f>
        <v>-3834.9205695292394</v>
      </c>
      <c r="C20" s="16">
        <f>k*Charge2*(fieldx-Q2x)/distance2^3</f>
        <v>-1369.3851442932953</v>
      </c>
      <c r="D20" s="16">
        <f>k*Charge3*(fieldx-Q3x)/distance3^3</f>
        <v>0</v>
      </c>
      <c r="E20" s="16">
        <f>k*Charge4*(fieldx-Q4x)/distance4^3</f>
        <v>0</v>
      </c>
      <c r="F20" s="14"/>
      <c r="G20" s="16">
        <f>SUM(B20:E20)</f>
        <v>-5204.305713822535</v>
      </c>
      <c r="H20" s="31"/>
      <c r="I20" s="28" t="s">
        <v>61</v>
      </c>
      <c r="J20" s="12"/>
    </row>
    <row r="21" spans="1:10" ht="12.75" thickBot="1">
      <c r="A21" s="10"/>
      <c r="B21" s="12" t="s">
        <v>2</v>
      </c>
      <c r="C21" s="12" t="s">
        <v>2</v>
      </c>
      <c r="D21" s="12" t="s">
        <v>2</v>
      </c>
      <c r="E21" s="12" t="s">
        <v>2</v>
      </c>
      <c r="F21" s="14" t="s">
        <v>8</v>
      </c>
      <c r="G21" s="12" t="s">
        <v>9</v>
      </c>
      <c r="H21" s="30"/>
      <c r="I21" s="27">
        <f>k*Charge1*Charge2/(SQRT((Q1x-Q2x)^2+(Q1y-Q2y)^2+(Q1z-Q2z)^2))+k*Charge1*Charge3/(SQRT((Q1x-Q3x)^2+(Q1y-Q3y)^2+(Q1z-Q3z)^2))+k*Charge1*Charge4/(SQRT((Q1x-Q4x)^2+(Q1y-Q4y)^2+(Q1z-Q4z)^2))+k*Charge2*Charge3/(SQRT((Q2x-Q3x)^2+(Q2y-Q3y)^2+(Q2z-Q3z)^2))+k*Charge2*Charge4/(SQRT((Q2x-Q4x)^2+(Q2y-Q4y)^2+(Q2z-Q4z)^2))+k*Charge3*Charge4/(SQRT((Q3x-Q4x)^2+(Q3y-Q4y)^2+(Q3z-Q4z)^2))</f>
        <v>3.17757940778004E-07</v>
      </c>
      <c r="J21" s="12"/>
    </row>
    <row r="22" spans="1:10" ht="12.75" thickBot="1">
      <c r="A22" s="10"/>
      <c r="B22" s="16">
        <f>k*Charge1*(fieldy-Q1y)/distance1^3</f>
        <v>-5752.380854293859</v>
      </c>
      <c r="C22" s="16">
        <f>k*Charge2*(fieldy-Q2y)/distance2^3</f>
        <v>-1711.731430366619</v>
      </c>
      <c r="D22" s="16">
        <f>k*Charge3*(fieldy-Q3y)/distance3^3</f>
        <v>0</v>
      </c>
      <c r="E22" s="16">
        <f>k*Charge4*(fieldy-Q4y)/distance4^3</f>
        <v>0</v>
      </c>
      <c r="F22" s="14"/>
      <c r="G22" s="16">
        <f>SUM(B22:E22)</f>
        <v>-7464.112284660478</v>
      </c>
      <c r="H22" s="31"/>
      <c r="I22" s="12"/>
      <c r="J22" s="12"/>
    </row>
    <row r="23" spans="1:10" ht="12">
      <c r="A23" s="10"/>
      <c r="B23" s="12" t="s">
        <v>3</v>
      </c>
      <c r="C23" s="12" t="s">
        <v>3</v>
      </c>
      <c r="D23" s="12" t="s">
        <v>3</v>
      </c>
      <c r="E23" s="12" t="s">
        <v>3</v>
      </c>
      <c r="F23" s="14"/>
      <c r="G23" s="12" t="s">
        <v>10</v>
      </c>
      <c r="H23" s="30"/>
      <c r="I23" s="26" t="s">
        <v>63</v>
      </c>
      <c r="J23" s="12"/>
    </row>
    <row r="24" spans="1:10" ht="12">
      <c r="A24" s="10"/>
      <c r="B24" s="16">
        <f>k*Charge1*(fieldz-Q1z)/distance1^3</f>
        <v>0</v>
      </c>
      <c r="C24" s="16">
        <f>k*Charge2*(fieldz-Q2z)/distance2^3</f>
        <v>0</v>
      </c>
      <c r="D24" s="16">
        <f>k*Charge3*(fieldz-Q3z)/distance3^3</f>
        <v>0</v>
      </c>
      <c r="E24" s="16">
        <f>k*Charge4*(fieldz-Q4z)/distance4^3</f>
        <v>0</v>
      </c>
      <c r="F24" s="14"/>
      <c r="G24" s="16">
        <f>SUM(B24:E24)</f>
        <v>0</v>
      </c>
      <c r="H24" s="31"/>
      <c r="I24" s="34">
        <f>SQRT(G20^2+G22^2+G24^2)</f>
        <v>9099.32800600931</v>
      </c>
      <c r="J24" s="12"/>
    </row>
    <row r="25" spans="1:9" ht="12">
      <c r="A25" s="10"/>
      <c r="B25" s="12"/>
      <c r="C25" s="12"/>
      <c r="D25" s="12"/>
      <c r="E25" s="12"/>
      <c r="F25" s="14"/>
      <c r="G25" s="12"/>
      <c r="H25" s="30"/>
      <c r="I25" s="32" t="s">
        <v>44</v>
      </c>
    </row>
    <row r="26" spans="1:9" ht="12">
      <c r="A26" s="10"/>
      <c r="B26" s="12"/>
      <c r="C26" s="12"/>
      <c r="D26" s="12"/>
      <c r="E26" s="12"/>
      <c r="F26" s="14"/>
      <c r="G26" s="12"/>
      <c r="H26" s="30"/>
      <c r="I26" s="32">
        <f>IF(G20&lt;&gt;0,DEGREES(ATAN(G22/G20))+180*(G20&lt;0),90*SIGN(G22))</f>
        <v>235.11410429574832</v>
      </c>
    </row>
    <row r="27" spans="1:9" ht="12">
      <c r="A27" s="10"/>
      <c r="B27" s="12" t="s">
        <v>51</v>
      </c>
      <c r="C27" s="12"/>
      <c r="D27" s="12"/>
      <c r="E27" s="12"/>
      <c r="F27" s="14"/>
      <c r="G27" s="16"/>
      <c r="H27" s="31"/>
      <c r="I27" s="32"/>
    </row>
    <row r="28" spans="1:9" ht="12">
      <c r="A28" s="10"/>
      <c r="B28" s="50">
        <v>3E-09</v>
      </c>
      <c r="C28" s="12"/>
      <c r="D28" s="12"/>
      <c r="E28" s="12"/>
      <c r="F28" s="14"/>
      <c r="G28" s="12"/>
      <c r="H28" s="30"/>
      <c r="I28" s="32"/>
    </row>
    <row r="29" spans="1:9" ht="12">
      <c r="A29" s="10"/>
      <c r="B29" s="12" t="s">
        <v>38</v>
      </c>
      <c r="C29" s="12" t="s">
        <v>19</v>
      </c>
      <c r="D29" s="12" t="s">
        <v>21</v>
      </c>
      <c r="E29" s="12" t="s">
        <v>30</v>
      </c>
      <c r="F29" s="14"/>
      <c r="G29" s="12" t="s">
        <v>11</v>
      </c>
      <c r="H29" s="30"/>
      <c r="I29" s="32"/>
    </row>
    <row r="30" spans="1:9" ht="12">
      <c r="A30" s="10"/>
      <c r="B30" s="16">
        <f>k*Charge1*testcharge*(fieldx-Q1x)/distance1^3</f>
        <v>-1.1504761708587718E-05</v>
      </c>
      <c r="C30" s="16">
        <f>k*Charge2*testcharge*(fieldx-Q2x)/distance2^3</f>
        <v>-4.108155432879886E-06</v>
      </c>
      <c r="D30" s="16">
        <f>k*Charge3*testcharge*(fieldx-Q3x)/distance3^3</f>
        <v>0</v>
      </c>
      <c r="E30" s="16">
        <f>k*Charge4*testcharge*(fieldx-Q4x)/distance4^3</f>
        <v>0</v>
      </c>
      <c r="F30" s="14"/>
      <c r="G30" s="16">
        <f>SUM(B30:E30)</f>
        <v>-1.5612917141467605E-05</v>
      </c>
      <c r="H30" s="31"/>
      <c r="I30" s="32"/>
    </row>
    <row r="31" spans="1:9" ht="24">
      <c r="A31" s="10"/>
      <c r="B31" s="12" t="s">
        <v>17</v>
      </c>
      <c r="C31" s="12" t="s">
        <v>4</v>
      </c>
      <c r="D31" s="12" t="s">
        <v>5</v>
      </c>
      <c r="E31" s="12" t="s">
        <v>31</v>
      </c>
      <c r="F31" s="14"/>
      <c r="G31" s="12" t="s">
        <v>12</v>
      </c>
      <c r="H31" s="30"/>
      <c r="I31" s="58" t="s">
        <v>62</v>
      </c>
    </row>
    <row r="32" spans="1:9" ht="12">
      <c r="A32" s="10"/>
      <c r="B32" s="16">
        <f>k*Charge1*testcharge*(fieldy-Q1y)/distance1^3</f>
        <v>-1.7257142562881575E-05</v>
      </c>
      <c r="C32" s="16">
        <f>k*Charge2*testcharge*(fieldy-Q2y)/distance2^3</f>
        <v>-5.135194291099857E-06</v>
      </c>
      <c r="D32" s="16">
        <f>k*Charge3*testcharge*(fieldy-Q3y)/distance3^3</f>
        <v>0</v>
      </c>
      <c r="E32" s="16">
        <f>k*Charge4*testcharge*(fieldy-Q4y)/distance4^3</f>
        <v>0</v>
      </c>
      <c r="F32" s="14"/>
      <c r="G32" s="16">
        <f>SUM(B32:E32)</f>
        <v>-2.2392336853981434E-05</v>
      </c>
      <c r="H32" s="31"/>
      <c r="I32" s="34">
        <f>SQRT(G30^2+G32^2+G34^2)</f>
        <v>2.7297984018027925E-05</v>
      </c>
    </row>
    <row r="33" spans="1:9" ht="12">
      <c r="A33" s="10"/>
      <c r="B33" s="12" t="s">
        <v>18</v>
      </c>
      <c r="C33" s="12" t="s">
        <v>20</v>
      </c>
      <c r="D33" s="12" t="s">
        <v>22</v>
      </c>
      <c r="E33" s="12" t="s">
        <v>32</v>
      </c>
      <c r="F33" s="14"/>
      <c r="G33" s="12" t="s">
        <v>13</v>
      </c>
      <c r="H33" s="30"/>
      <c r="I33" s="32" t="s">
        <v>45</v>
      </c>
    </row>
    <row r="34" spans="1:9" ht="12.75" thickBot="1">
      <c r="A34" s="38"/>
      <c r="B34" s="39">
        <f>k*Charge1*testcharge*(fieldz-Q1z)/distance1^3</f>
        <v>0</v>
      </c>
      <c r="C34" s="39">
        <f>k*Charge2*testcharge*(fieldz-Q2z)/distance2^3</f>
        <v>0</v>
      </c>
      <c r="D34" s="39">
        <f>k*Charge3*testcharge*(fieldz-Q3z)/distance3^3</f>
        <v>0</v>
      </c>
      <c r="E34" s="39">
        <f>k*Charge4*testcharge*(fieldz-Q4z)/distance4^3</f>
        <v>0</v>
      </c>
      <c r="F34" s="40"/>
      <c r="G34" s="33">
        <f>SUM(B34:E34)</f>
        <v>0</v>
      </c>
      <c r="H34" s="31"/>
      <c r="I34" s="27">
        <f>IF(G30&lt;&gt;0,DEGREES(ATAN(G32/G30))+180*(G30&lt;0),0)</f>
        <v>235.11410429574832</v>
      </c>
    </row>
    <row r="35" spans="1:9" ht="12.75" thickBot="1">
      <c r="A35" s="12"/>
      <c r="B35" s="12"/>
      <c r="C35" s="12"/>
      <c r="D35" s="12"/>
      <c r="E35" s="12"/>
      <c r="F35" s="14"/>
      <c r="G35" s="12"/>
      <c r="H35" s="14"/>
      <c r="I35" s="16"/>
    </row>
    <row r="36" spans="1:10" ht="48">
      <c r="A36" s="12"/>
      <c r="B36" s="12"/>
      <c r="C36" s="12"/>
      <c r="D36" s="12"/>
      <c r="E36" s="12"/>
      <c r="F36" s="14"/>
      <c r="G36" s="12"/>
      <c r="H36" s="14"/>
      <c r="I36" s="35" t="s">
        <v>52</v>
      </c>
      <c r="J36" s="36" t="s">
        <v>33</v>
      </c>
    </row>
    <row r="37" spans="1:10" ht="12.75" thickBot="1">
      <c r="A37" s="5"/>
      <c r="B37" s="5"/>
      <c r="C37" s="5"/>
      <c r="D37" s="5"/>
      <c r="E37" s="5"/>
      <c r="F37" s="5"/>
      <c r="G37" s="4"/>
      <c r="H37" s="4"/>
      <c r="I37" s="37">
        <f>k*Charge1/distance1+k*Charge2/distance2+k*Charge3/distance3+k*Charge4/distance4</f>
        <v>389.63181430946327</v>
      </c>
      <c r="J37" s="25">
        <f>testcharge*V_at_field_point</f>
        <v>1.1688954429283897E-06</v>
      </c>
    </row>
    <row r="38" spans="1:5" ht="12">
      <c r="A38" s="6" t="s">
        <v>14</v>
      </c>
      <c r="B38" s="7"/>
      <c r="C38" s="7"/>
      <c r="D38" s="9"/>
      <c r="E38" s="12"/>
    </row>
    <row r="39" spans="1:8" s="3" customFormat="1" ht="24">
      <c r="A39" s="18" t="s">
        <v>39</v>
      </c>
      <c r="B39" s="19" t="s">
        <v>40</v>
      </c>
      <c r="C39" s="19"/>
      <c r="D39" s="20" t="s">
        <v>41</v>
      </c>
      <c r="E39" s="19"/>
      <c r="H39" s="29"/>
    </row>
    <row r="40" spans="1:5" ht="12">
      <c r="A40" s="43">
        <v>0.375</v>
      </c>
      <c r="B40" s="41">
        <v>3</v>
      </c>
      <c r="C40" s="12"/>
      <c r="D40" s="21">
        <f>A40*B40</f>
        <v>1.125</v>
      </c>
      <c r="E40" s="16"/>
    </row>
    <row r="41" spans="1:8" ht="12">
      <c r="A41" s="22"/>
      <c r="B41" s="23"/>
      <c r="C41" s="23"/>
      <c r="D41" s="21"/>
      <c r="E41" s="16"/>
      <c r="F41" s="2"/>
      <c r="G41" s="2"/>
      <c r="H41" s="4"/>
    </row>
    <row r="42" spans="1:8" ht="12">
      <c r="A42" s="10" t="s">
        <v>15</v>
      </c>
      <c r="B42" s="12"/>
      <c r="C42" s="12"/>
      <c r="D42" s="21"/>
      <c r="E42" s="16"/>
      <c r="F42" s="2"/>
      <c r="G42" s="2"/>
      <c r="H42" s="4"/>
    </row>
    <row r="43" spans="1:8" ht="48">
      <c r="A43" s="18" t="s">
        <v>42</v>
      </c>
      <c r="B43" s="19" t="s">
        <v>43</v>
      </c>
      <c r="C43" s="19" t="s">
        <v>24</v>
      </c>
      <c r="D43" s="20" t="s">
        <v>25</v>
      </c>
      <c r="E43" s="19"/>
      <c r="F43" s="12"/>
      <c r="G43" s="12"/>
      <c r="H43" s="14"/>
    </row>
    <row r="44" spans="1:8" ht="12">
      <c r="A44" s="43">
        <v>0.005</v>
      </c>
      <c r="B44" s="42">
        <v>0</v>
      </c>
      <c r="C44" s="16">
        <f>k*(D40*(3*(COS(RADIANS(B44)))^2-1))/A44^3</f>
        <v>1.6177593218399997E+17</v>
      </c>
      <c r="D44" s="21">
        <f>k*(3*D40*((COS(RADIANS(B44)))*(SIN(RADIANS(B44)))))/A44^3</f>
        <v>0</v>
      </c>
      <c r="E44" s="16"/>
      <c r="F44" s="12"/>
      <c r="G44" s="12"/>
      <c r="H44" s="14"/>
    </row>
    <row r="45" spans="1:5" ht="12">
      <c r="A45" s="10"/>
      <c r="B45" s="12"/>
      <c r="C45" s="12"/>
      <c r="D45" s="13"/>
      <c r="E45" s="12"/>
    </row>
    <row r="46" spans="1:5" ht="12">
      <c r="A46" s="10" t="s">
        <v>26</v>
      </c>
      <c r="B46" s="12"/>
      <c r="C46" s="12"/>
      <c r="D46" s="13"/>
      <c r="E46" s="12"/>
    </row>
    <row r="47" spans="1:5" ht="48">
      <c r="A47" s="18" t="s">
        <v>23</v>
      </c>
      <c r="B47" s="19" t="s">
        <v>16</v>
      </c>
      <c r="C47" s="12"/>
      <c r="D47" s="13"/>
      <c r="E47" s="12"/>
    </row>
    <row r="48" spans="1:5" ht="12.75" thickBot="1">
      <c r="A48" s="44">
        <f>2*k*D40/(A44^3)</f>
        <v>1.6177593218399997E+17</v>
      </c>
      <c r="B48" s="24">
        <f>-1*k*D40/(A44^3)</f>
        <v>-80887966091999980</v>
      </c>
      <c r="C48" s="17"/>
      <c r="D48" s="25"/>
      <c r="E48" s="12"/>
    </row>
    <row r="49" ht="12.75" thickBot="1"/>
    <row r="50" spans="1:9" ht="12">
      <c r="A50" s="6" t="s">
        <v>53</v>
      </c>
      <c r="B50" s="7"/>
      <c r="C50" s="7"/>
      <c r="D50" s="7"/>
      <c r="E50" s="7"/>
      <c r="F50" s="7"/>
      <c r="G50" s="7"/>
      <c r="H50" s="8"/>
      <c r="I50" s="9"/>
    </row>
    <row r="51" spans="1:10" s="3" customFormat="1" ht="60">
      <c r="A51" s="18" t="s">
        <v>55</v>
      </c>
      <c r="B51" s="19" t="s">
        <v>58</v>
      </c>
      <c r="C51" s="19" t="s">
        <v>56</v>
      </c>
      <c r="D51" s="19" t="s">
        <v>59</v>
      </c>
      <c r="E51" s="51" t="s">
        <v>54</v>
      </c>
      <c r="F51" s="19"/>
      <c r="G51" s="19" t="s">
        <v>60</v>
      </c>
      <c r="H51" s="19"/>
      <c r="I51" s="20" t="s">
        <v>57</v>
      </c>
      <c r="J51" s="29"/>
    </row>
    <row r="52" spans="1:10" ht="12.75" thickBot="1">
      <c r="A52" s="53">
        <v>0.0139</v>
      </c>
      <c r="B52" s="54">
        <v>0.0388</v>
      </c>
      <c r="C52" s="55">
        <v>-5.3E-08</v>
      </c>
      <c r="D52" s="54">
        <v>20.4</v>
      </c>
      <c r="E52" s="52">
        <f>C52/D52</f>
        <v>-2.5980392156862747E-09</v>
      </c>
      <c r="F52" s="17"/>
      <c r="G52" s="17">
        <f>(2*k*E52)/(A52)</f>
        <v>-3359.7139565806183</v>
      </c>
      <c r="H52" s="17"/>
      <c r="I52" s="25">
        <f>G52*2*3.1415926535*A52*B52</f>
        <v>-11.384886298913452</v>
      </c>
      <c r="J52" s="5"/>
    </row>
  </sheetData>
  <sheetProtection/>
  <conditionalFormatting sqref="A44">
    <cfRule type="expression" priority="1" dxfId="11" stopIfTrue="1">
      <formula>OR((dipolecharge=0),(dipoleseparation=0))</formula>
    </cfRule>
  </conditionalFormatting>
  <conditionalFormatting sqref="B29:B34 G29:H36 I35 I29:I32">
    <cfRule type="expression" priority="2" dxfId="12" stopIfTrue="1">
      <formula>testcharge=0</formula>
    </cfRule>
  </conditionalFormatting>
  <conditionalFormatting sqref="A41:E42 A45:E48 B43:F44">
    <cfRule type="expression" priority="3" dxfId="12" stopIfTrue="1">
      <formula>OR((dipolecharge=0),(dipoleseparation=0))</formula>
    </cfRule>
  </conditionalFormatting>
  <conditionalFormatting sqref="C29:C34">
    <cfRule type="expression" priority="4" dxfId="12" stopIfTrue="1">
      <formula>OR((Charge2=0),(testcharge=0))</formula>
    </cfRule>
  </conditionalFormatting>
  <conditionalFormatting sqref="D29:D34">
    <cfRule type="expression" priority="5" dxfId="12" stopIfTrue="1">
      <formula>OR((Charge3=0),(testcharge=0))</formula>
    </cfRule>
  </conditionalFormatting>
  <conditionalFormatting sqref="C15:C28">
    <cfRule type="expression" priority="6" dxfId="12" stopIfTrue="1">
      <formula>Charge2=0</formula>
    </cfRule>
  </conditionalFormatting>
  <conditionalFormatting sqref="D15:D28">
    <cfRule type="expression" priority="7" dxfId="12" stopIfTrue="1">
      <formula>Charge3=0</formula>
    </cfRule>
  </conditionalFormatting>
  <conditionalFormatting sqref="E15:E34">
    <cfRule type="expression" priority="8" dxfId="13" stopIfTrue="1">
      <formula>Charge4=0</formula>
    </cfRule>
  </conditionalFormatting>
  <conditionalFormatting sqref="C10 C12:C14">
    <cfRule type="expression" priority="9" dxfId="14" stopIfTrue="1">
      <formula>Charge2=0</formula>
    </cfRule>
  </conditionalFormatting>
  <conditionalFormatting sqref="D10 D12:D14">
    <cfRule type="expression" priority="10" dxfId="14" stopIfTrue="1">
      <formula>Charge3=0</formula>
    </cfRule>
  </conditionalFormatting>
  <conditionalFormatting sqref="E10 E12:E14">
    <cfRule type="expression" priority="11" dxfId="14" stopIfTrue="1">
      <formula>Charge4=0</formula>
    </cfRule>
  </conditionalFormatting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Louie</cp:lastModifiedBy>
  <cp:lastPrinted>2001-12-10T17:42:56Z</cp:lastPrinted>
  <dcterms:created xsi:type="dcterms:W3CDTF">1999-05-12T21:44:09Z</dcterms:created>
  <dcterms:modified xsi:type="dcterms:W3CDTF">2015-03-02T18:52:51Z</dcterms:modified>
  <cp:category/>
  <cp:version/>
  <cp:contentType/>
  <cp:contentStatus/>
</cp:coreProperties>
</file>